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 showInkAnnotation="0" codeName="ThisWorkbook"/>
  <bookViews>
    <workbookView xWindow="0" yWindow="0" windowWidth="2835" windowHeight="4860" tabRatio="793" activeTab="1"/>
  </bookViews>
  <sheets>
    <sheet name="3. Database - output" sheetId="29" r:id="rId1"/>
    <sheet name="4. Design parameter - UI" sheetId="21" r:id="rId2"/>
    <sheet name="Dropdown" sheetId="27" r:id="rId3"/>
  </sheets>
  <externalReferences>
    <externalReference r:id="rId4"/>
  </externalReferences>
  <calcPr calcId="162913" calcMode="manual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2" i="21" l="1"/>
  <c r="Q71" i="21"/>
  <c r="P71" i="21"/>
  <c r="O71" i="21"/>
  <c r="L71" i="21"/>
  <c r="E71" i="21"/>
  <c r="R69" i="21"/>
  <c r="Q68" i="21"/>
  <c r="P68" i="21"/>
  <c r="O68" i="21"/>
  <c r="L68" i="21"/>
  <c r="E68" i="21"/>
  <c r="R63" i="21"/>
  <c r="Q62" i="21"/>
  <c r="P62" i="21"/>
  <c r="O62" i="21"/>
  <c r="L62" i="21"/>
  <c r="E62" i="21"/>
  <c r="R60" i="21"/>
  <c r="Q59" i="21"/>
  <c r="P59" i="21"/>
  <c r="O59" i="21"/>
  <c r="L59" i="21"/>
  <c r="E59" i="21"/>
  <c r="L52" i="21"/>
  <c r="I52" i="21"/>
  <c r="E52" i="21"/>
  <c r="L51" i="21"/>
  <c r="I51" i="21"/>
  <c r="E51" i="21"/>
  <c r="L50" i="21"/>
  <c r="I50" i="21"/>
  <c r="E50" i="21"/>
  <c r="Q49" i="21"/>
  <c r="P49" i="21"/>
  <c r="O49" i="21"/>
  <c r="Q48" i="21"/>
  <c r="P48" i="21"/>
  <c r="O48" i="21"/>
  <c r="Q47" i="21"/>
  <c r="P47" i="21"/>
  <c r="O47" i="21"/>
  <c r="E42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E41" i="21"/>
  <c r="C41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E40" i="21"/>
  <c r="C40" i="21"/>
  <c r="Q34" i="21"/>
  <c r="P34" i="21"/>
  <c r="O34" i="21"/>
  <c r="E34" i="21"/>
  <c r="Q33" i="21"/>
  <c r="P33" i="21"/>
  <c r="O33" i="21"/>
  <c r="G33" i="21"/>
  <c r="E33" i="21"/>
  <c r="Q32" i="21"/>
  <c r="P32" i="21"/>
  <c r="O32" i="21"/>
  <c r="G32" i="21"/>
  <c r="E32" i="21"/>
  <c r="Q31" i="21"/>
  <c r="P31" i="21"/>
  <c r="O31" i="21"/>
  <c r="G31" i="21"/>
  <c r="E31" i="21"/>
  <c r="C96" i="21" l="1"/>
  <c r="C93" i="21"/>
  <c r="C90" i="21"/>
  <c r="C89" i="21"/>
  <c r="F22" i="21"/>
  <c r="C79" i="21" s="1"/>
  <c r="E22" i="21"/>
  <c r="C99" i="21" s="1"/>
  <c r="C22" i="21"/>
  <c r="C95" i="21" s="1"/>
  <c r="C77" i="21" l="1"/>
  <c r="C92" i="21"/>
  <c r="C78" i="21"/>
  <c r="C100" i="21"/>
  <c r="C97" i="21"/>
  <c r="C94" i="21"/>
  <c r="C98" i="21"/>
  <c r="C91" i="21"/>
  <c r="H100" i="21"/>
  <c r="E100" i="21"/>
  <c r="E99" i="21"/>
  <c r="E98" i="21"/>
  <c r="D100" i="21"/>
  <c r="D99" i="21"/>
  <c r="H99" i="21" s="1"/>
  <c r="D98" i="21"/>
  <c r="E97" i="21"/>
  <c r="E96" i="21"/>
  <c r="E95" i="21"/>
  <c r="D97" i="21"/>
  <c r="D96" i="21"/>
  <c r="D95" i="21"/>
  <c r="E92" i="21"/>
  <c r="D92" i="21"/>
  <c r="E94" i="21"/>
  <c r="D94" i="21"/>
  <c r="E93" i="21"/>
  <c r="D93" i="21"/>
  <c r="E91" i="21"/>
  <c r="E90" i="21"/>
  <c r="D91" i="21"/>
  <c r="D90" i="21"/>
  <c r="E89" i="21"/>
  <c r="D89" i="21"/>
  <c r="E80" i="21"/>
  <c r="G81" i="21"/>
  <c r="G80" i="21"/>
  <c r="G82" i="21"/>
  <c r="G85" i="21" s="1"/>
  <c r="E82" i="21"/>
  <c r="E81" i="21"/>
  <c r="G79" i="21"/>
  <c r="G78" i="21"/>
  <c r="G77" i="21"/>
  <c r="E79" i="21"/>
  <c r="E78" i="21"/>
  <c r="E77" i="21"/>
  <c r="E85" i="21"/>
  <c r="E84" i="21"/>
  <c r="F55" i="21"/>
  <c r="J49" i="21"/>
  <c r="F54" i="21"/>
  <c r="F73" i="21"/>
  <c r="J73" i="21"/>
  <c r="J70" i="21"/>
  <c r="F70" i="21"/>
  <c r="F64" i="21"/>
  <c r="J64" i="21"/>
  <c r="J61" i="21"/>
  <c r="F61" i="21"/>
  <c r="F49" i="21"/>
  <c r="L73" i="21"/>
  <c r="L72" i="21"/>
  <c r="L70" i="21"/>
  <c r="L69" i="21"/>
  <c r="L64" i="21"/>
  <c r="L63" i="21"/>
  <c r="L61" i="21"/>
  <c r="L60" i="21"/>
  <c r="O13" i="21"/>
  <c r="O12" i="21"/>
  <c r="C15" i="21"/>
  <c r="O15" i="21" s="1"/>
  <c r="C13" i="21"/>
  <c r="C12" i="21"/>
  <c r="H98" i="21" l="1"/>
  <c r="I99" i="21"/>
  <c r="I100" i="21"/>
  <c r="G84" i="21"/>
  <c r="G83" i="21"/>
  <c r="I98" i="21"/>
  <c r="E83" i="21"/>
  <c r="J54" i="21"/>
  <c r="J55" i="21" s="1"/>
  <c r="V3" i="27"/>
  <c r="V4" i="27"/>
  <c r="V5" i="27"/>
  <c r="V6" i="27"/>
  <c r="E14" i="27"/>
  <c r="F14" i="27"/>
  <c r="G14" i="27"/>
  <c r="H14" i="27"/>
  <c r="I14" i="27"/>
  <c r="J14" i="27"/>
  <c r="K14" i="27"/>
  <c r="L14" i="27"/>
  <c r="G99" i="21" l="1"/>
  <c r="M72" i="21" l="1"/>
  <c r="R73" i="21"/>
  <c r="M73" i="21" s="1"/>
  <c r="E53" i="21" l="1"/>
  <c r="I53" i="21"/>
  <c r="D34" i="21"/>
  <c r="C34" i="21"/>
  <c r="R61" i="21"/>
  <c r="M61" i="21" s="1"/>
  <c r="M60" i="21"/>
  <c r="M63" i="21"/>
  <c r="R64" i="21"/>
  <c r="M64" i="21" s="1"/>
  <c r="M69" i="21"/>
  <c r="R70" i="21"/>
  <c r="M70" i="21" s="1"/>
  <c r="D53" i="21" l="1"/>
  <c r="H53" i="21"/>
  <c r="G53" i="21"/>
  <c r="C53" i="21"/>
  <c r="H89" i="21" l="1"/>
  <c r="H92" i="21"/>
  <c r="H95" i="21"/>
  <c r="C80" i="21" l="1"/>
  <c r="C83" i="21" s="1"/>
  <c r="G98" i="21"/>
  <c r="H90" i="21"/>
  <c r="H91" i="21"/>
  <c r="H94" i="21"/>
  <c r="H93" i="21"/>
  <c r="I90" i="21"/>
  <c r="I96" i="21"/>
  <c r="I93" i="21"/>
  <c r="I89" i="21"/>
  <c r="I92" i="21"/>
  <c r="I95" i="21"/>
  <c r="G89" i="21"/>
  <c r="G92" i="21"/>
  <c r="G95" i="21"/>
  <c r="I91" i="21"/>
  <c r="I97" i="21"/>
  <c r="I94" i="21"/>
  <c r="G100" i="21"/>
  <c r="G90" i="21" l="1"/>
  <c r="G96" i="21"/>
  <c r="G93" i="21"/>
  <c r="G97" i="21"/>
  <c r="G91" i="21"/>
  <c r="G94" i="21"/>
  <c r="C81" i="21"/>
  <c r="C84" i="21" s="1"/>
  <c r="C82" i="21"/>
  <c r="C85" i="21" s="1"/>
  <c r="E36" i="21" l="1"/>
  <c r="E35" i="21"/>
  <c r="D33" i="21"/>
  <c r="C33" i="21"/>
  <c r="I48" i="21"/>
  <c r="C32" i="21"/>
  <c r="E48" i="21"/>
  <c r="D32" i="21"/>
  <c r="E47" i="21"/>
  <c r="I47" i="21"/>
  <c r="C31" i="21"/>
  <c r="D31" i="21"/>
  <c r="I59" i="21" l="1"/>
  <c r="D62" i="21"/>
  <c r="D63" i="21" s="1"/>
  <c r="H63" i="21" s="1"/>
  <c r="C71" i="21"/>
  <c r="C73" i="21" s="1"/>
  <c r="G73" i="21" s="1"/>
  <c r="D68" i="21"/>
  <c r="D70" i="21" s="1"/>
  <c r="H70" i="21" s="1"/>
  <c r="D48" i="21"/>
  <c r="H48" i="21"/>
  <c r="C36" i="21"/>
  <c r="C35" i="21"/>
  <c r="C48" i="21"/>
  <c r="G48" i="21"/>
  <c r="I49" i="21"/>
  <c r="H47" i="21"/>
  <c r="G47" i="21"/>
  <c r="D36" i="21"/>
  <c r="D35" i="21"/>
  <c r="E49" i="21"/>
  <c r="C47" i="21"/>
  <c r="D47" i="21"/>
  <c r="C62" i="21" l="1"/>
  <c r="G62" i="21" s="1"/>
  <c r="D69" i="21"/>
  <c r="H69" i="21" s="1"/>
  <c r="E64" i="21"/>
  <c r="I64" i="21" s="1"/>
  <c r="I68" i="21"/>
  <c r="I62" i="21"/>
  <c r="E63" i="21"/>
  <c r="I63" i="21" s="1"/>
  <c r="C72" i="21"/>
  <c r="G72" i="21" s="1"/>
  <c r="H68" i="21"/>
  <c r="C68" i="21"/>
  <c r="C69" i="21" s="1"/>
  <c r="G69" i="21" s="1"/>
  <c r="E69" i="21"/>
  <c r="I69" i="21" s="1"/>
  <c r="D71" i="21"/>
  <c r="D72" i="21" s="1"/>
  <c r="H72" i="21" s="1"/>
  <c r="E70" i="21"/>
  <c r="I70" i="21" s="1"/>
  <c r="G71" i="21"/>
  <c r="D64" i="21"/>
  <c r="H64" i="21" s="1"/>
  <c r="D59" i="21"/>
  <c r="D61" i="21" s="1"/>
  <c r="H61" i="21" s="1"/>
  <c r="E60" i="21"/>
  <c r="I60" i="21" s="1"/>
  <c r="E73" i="21"/>
  <c r="I73" i="21" s="1"/>
  <c r="I71" i="21"/>
  <c r="H62" i="21"/>
  <c r="C59" i="21"/>
  <c r="G59" i="21" s="1"/>
  <c r="E61" i="21"/>
  <c r="I61" i="21" s="1"/>
  <c r="E72" i="21"/>
  <c r="I72" i="21" s="1"/>
  <c r="H49" i="21"/>
  <c r="H54" i="21" s="1"/>
  <c r="I54" i="21"/>
  <c r="I55" i="21"/>
  <c r="D49" i="21"/>
  <c r="E54" i="21"/>
  <c r="H96" i="21" s="1"/>
  <c r="E55" i="21"/>
  <c r="H97" i="21" s="1"/>
  <c r="C49" i="21"/>
  <c r="G49" i="21"/>
  <c r="C64" i="21" l="1"/>
  <c r="G64" i="21" s="1"/>
  <c r="C63" i="21"/>
  <c r="G63" i="21" s="1"/>
  <c r="C61" i="21"/>
  <c r="G61" i="21" s="1"/>
  <c r="C60" i="21"/>
  <c r="G60" i="21" s="1"/>
  <c r="C70" i="21"/>
  <c r="G70" i="21" s="1"/>
  <c r="G68" i="21"/>
  <c r="D73" i="21"/>
  <c r="H73" i="21" s="1"/>
  <c r="H71" i="21"/>
  <c r="H59" i="21"/>
  <c r="D60" i="21"/>
  <c r="H60" i="21" s="1"/>
  <c r="H55" i="21"/>
  <c r="C55" i="21"/>
  <c r="C54" i="21"/>
  <c r="G55" i="21"/>
  <c r="G54" i="21"/>
  <c r="D54" i="21"/>
  <c r="D55" i="21"/>
</calcChain>
</file>

<file path=xl/comments1.xml><?xml version="1.0" encoding="utf-8"?>
<comments xmlns="http://schemas.openxmlformats.org/spreadsheetml/2006/main">
  <authors>
    <author>Author</author>
  </authors>
  <commentList>
    <comment ref="F47" authorId="0" shapeId="0">
      <text>
        <r>
          <rPr>
            <sz val="9"/>
            <color indexed="81"/>
            <rFont val="Tahoma"/>
            <family val="2"/>
          </rPr>
          <t>If 'yard tap' water supply: chose value lower than average value!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 xml:space="preserve">If 'public - ltd' water supply: chose value below average value!
</t>
        </r>
      </text>
    </comment>
    <comment ref="F49" authorId="0" shapeId="0">
      <text>
        <r>
          <rPr>
            <sz val="9"/>
            <color indexed="81"/>
            <rFont val="Tahoma"/>
            <family val="2"/>
          </rPr>
          <t xml:space="preserve">If 'pour flush' sanitation interface: chose value lower than average value! 
Hint: pour flush BW appr. 25 - 35% of full flush BW
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 xml:space="preserve">If 'pour flush' sanitation interface: chose value lower than average value! 
Hint: pour flush BW appr. 25 - 35% of full flush BW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(modiefied from O-5, BRICS and N-11 classification):
- Brazil
- China
- Egypt
- India
- Mexico
- Russia
- South Africa
- Thailand
- Turkey</t>
        </r>
      </text>
    </comment>
  </commentList>
</comments>
</file>

<file path=xl/sharedStrings.xml><?xml version="1.0" encoding="utf-8"?>
<sst xmlns="http://schemas.openxmlformats.org/spreadsheetml/2006/main" count="1101" uniqueCount="261">
  <si>
    <t>PFF</t>
  </si>
  <si>
    <t>Country</t>
  </si>
  <si>
    <t>Region</t>
  </si>
  <si>
    <t>SD</t>
  </si>
  <si>
    <t>LMI</t>
  </si>
  <si>
    <t>Zambia</t>
  </si>
  <si>
    <t>SSA</t>
  </si>
  <si>
    <t>LI</t>
  </si>
  <si>
    <t>HI</t>
  </si>
  <si>
    <t>India</t>
  </si>
  <si>
    <t>Climate</t>
  </si>
  <si>
    <t>Kenya</t>
  </si>
  <si>
    <t>Water consumption</t>
  </si>
  <si>
    <t>South Africa</t>
  </si>
  <si>
    <t>UMI</t>
  </si>
  <si>
    <t>Tanzania</t>
  </si>
  <si>
    <t>Indonesia</t>
  </si>
  <si>
    <t>Cambodia</t>
  </si>
  <si>
    <t>Vietnam</t>
  </si>
  <si>
    <t>Philippines</t>
  </si>
  <si>
    <t>Brazil</t>
  </si>
  <si>
    <t>LAC</t>
  </si>
  <si>
    <t>Low Income</t>
  </si>
  <si>
    <t>Sub-Saharan Africa</t>
  </si>
  <si>
    <t>Lower Middle Income</t>
  </si>
  <si>
    <t>South Asia</t>
  </si>
  <si>
    <t>SAS</t>
  </si>
  <si>
    <t>Upper Middle Income</t>
  </si>
  <si>
    <t>Latin America &amp; Caribbean</t>
  </si>
  <si>
    <t>High Income</t>
  </si>
  <si>
    <t>East Asia &amp; Pacific</t>
  </si>
  <si>
    <t>EAP</t>
  </si>
  <si>
    <t>ECA</t>
  </si>
  <si>
    <t>Middle East &amp; North Africa</t>
  </si>
  <si>
    <t>MNA</t>
  </si>
  <si>
    <t>North America</t>
  </si>
  <si>
    <t>NAC</t>
  </si>
  <si>
    <t>Yemen</t>
  </si>
  <si>
    <t>Jordan</t>
  </si>
  <si>
    <t>Fiji</t>
  </si>
  <si>
    <t>Thailand</t>
  </si>
  <si>
    <t>Urban</t>
  </si>
  <si>
    <t>Rural</t>
  </si>
  <si>
    <t>Nitrogen</t>
  </si>
  <si>
    <t>Phosphorus</t>
  </si>
  <si>
    <t>Income</t>
  </si>
  <si>
    <t>Factors</t>
  </si>
  <si>
    <t>System type</t>
  </si>
  <si>
    <t>SSS</t>
  </si>
  <si>
    <t>CSC</t>
  </si>
  <si>
    <t>Afghanistan</t>
  </si>
  <si>
    <t>Bangladesh</t>
  </si>
  <si>
    <t>Lao</t>
  </si>
  <si>
    <t>Lesotho</t>
  </si>
  <si>
    <t>Mali</t>
  </si>
  <si>
    <t>Mexico</t>
  </si>
  <si>
    <t>Algeria</t>
  </si>
  <si>
    <t>Egypt</t>
  </si>
  <si>
    <t>Syria</t>
  </si>
  <si>
    <t>Tunisia</t>
  </si>
  <si>
    <t>Denmark</t>
  </si>
  <si>
    <t>Italy</t>
  </si>
  <si>
    <t>Sweden</t>
  </si>
  <si>
    <t>Turkey</t>
  </si>
  <si>
    <t>Uganda</t>
  </si>
  <si>
    <t>USA</t>
  </si>
  <si>
    <t>Germany</t>
  </si>
  <si>
    <t>Morocco</t>
  </si>
  <si>
    <t>Iran</t>
  </si>
  <si>
    <t>Urban stormwater</t>
  </si>
  <si>
    <t>Developing Countries</t>
  </si>
  <si>
    <t>Nigeria</t>
  </si>
  <si>
    <t>Botswana</t>
  </si>
  <si>
    <t>Semi-urban</t>
  </si>
  <si>
    <t>Pakistan</t>
  </si>
  <si>
    <t>South Korea</t>
  </si>
  <si>
    <t>China</t>
  </si>
  <si>
    <t>England</t>
  </si>
  <si>
    <t>Domestic</t>
  </si>
  <si>
    <t>Yard tap</t>
  </si>
  <si>
    <t>Mean</t>
  </si>
  <si>
    <t>Min</t>
  </si>
  <si>
    <t>Max</t>
  </si>
  <si>
    <t>COD</t>
  </si>
  <si>
    <t>BOD</t>
  </si>
  <si>
    <t>TSS</t>
  </si>
  <si>
    <t>Water return coefficient</t>
  </si>
  <si>
    <t>Blackwater</t>
  </si>
  <si>
    <t>Average</t>
  </si>
  <si>
    <t>Blackwater ratio</t>
  </si>
  <si>
    <t>total</t>
  </si>
  <si>
    <t>Greywater</t>
  </si>
  <si>
    <t>Residential</t>
  </si>
  <si>
    <t>Global</t>
  </si>
  <si>
    <t>Arid</t>
  </si>
  <si>
    <t>Tropical</t>
  </si>
  <si>
    <t>Diverse</t>
  </si>
  <si>
    <t>Moderate</t>
  </si>
  <si>
    <t>Urban/Rural</t>
  </si>
  <si>
    <t>Private - full flush</t>
  </si>
  <si>
    <t>Private - pour flush</t>
  </si>
  <si>
    <t>Shared - full flush</t>
  </si>
  <si>
    <t>System category</t>
  </si>
  <si>
    <t>Country Classification</t>
  </si>
  <si>
    <t>Industrialised Countries</t>
  </si>
  <si>
    <t>Emerging Countries</t>
  </si>
  <si>
    <t>Sanitation Interface</t>
  </si>
  <si>
    <t>In house</t>
  </si>
  <si>
    <t>Public - unltd</t>
  </si>
  <si>
    <t>Public - ltd</t>
  </si>
  <si>
    <t>Shared - pour flush</t>
  </si>
  <si>
    <t>e.g. public standpipe/CSC</t>
  </si>
  <si>
    <t>e.g. handpump/well</t>
  </si>
  <si>
    <t>Dry</t>
  </si>
  <si>
    <t>e.g. VIP</t>
  </si>
  <si>
    <t>Wastewater origin</t>
  </si>
  <si>
    <t>Greywater - shower &amp; bath</t>
  </si>
  <si>
    <t>Greywater - kitchen</t>
  </si>
  <si>
    <t>Greywater - laundry</t>
  </si>
  <si>
    <t>Blackwater - faeces</t>
  </si>
  <si>
    <t>Blackwater - urine</t>
  </si>
  <si>
    <t>Blackwater - anal cleansing</t>
  </si>
  <si>
    <t>Institutional</t>
  </si>
  <si>
    <t>Industrial</t>
  </si>
  <si>
    <t>HH + commercial</t>
  </si>
  <si>
    <t>HH only</t>
  </si>
  <si>
    <t>Domestic + org. waste</t>
  </si>
  <si>
    <t>WWTP Size Scale</t>
  </si>
  <si>
    <t>WCE</t>
  </si>
  <si>
    <t xml:space="preserve"> </t>
  </si>
  <si>
    <t>Wastewater production</t>
  </si>
  <si>
    <t>Macro classification</t>
  </si>
  <si>
    <t>Auxilary</t>
  </si>
  <si>
    <t>Value</t>
  </si>
  <si>
    <t>Description</t>
  </si>
  <si>
    <t>Nutrients</t>
  </si>
  <si>
    <t>Distinctive Feature</t>
  </si>
  <si>
    <t>Macro Classification</t>
  </si>
  <si>
    <t>West &amp; Central Europe</t>
  </si>
  <si>
    <t>Eastern Europe &amp; Central Asia</t>
  </si>
  <si>
    <t>Commercial/Institutional</t>
  </si>
  <si>
    <t>1,000 - 10,000</t>
  </si>
  <si>
    <t>100 - 1,000</t>
  </si>
  <si>
    <t>10,000 - 100,000</t>
  </si>
  <si>
    <t>Income classification - local</t>
  </si>
  <si>
    <t>Climate - local</t>
  </si>
  <si>
    <t>Tropical - local</t>
  </si>
  <si>
    <t>Moderate - local</t>
  </si>
  <si>
    <t>Arid - local</t>
  </si>
  <si>
    <t>LI - local</t>
  </si>
  <si>
    <t>LMI - local</t>
  </si>
  <si>
    <t>UMI - local</t>
  </si>
  <si>
    <t>HI - local</t>
  </si>
  <si>
    <t>Climate - global</t>
  </si>
  <si>
    <t>Income classification - global</t>
  </si>
  <si>
    <t xml:space="preserve"> &lt; 100</t>
  </si>
  <si>
    <t xml:space="preserve"> &gt; 100,000</t>
  </si>
  <si>
    <t>Distinctive Features</t>
  </si>
  <si>
    <t>n</t>
  </si>
  <si>
    <t>Modified definition based on O-5, N-11 and BRICS</t>
  </si>
  <si>
    <t>Regions</t>
  </si>
  <si>
    <t>Country clean Dropdown</t>
  </si>
  <si>
    <t>Classification of income of community</t>
  </si>
  <si>
    <t>Water Access</t>
  </si>
  <si>
    <t>Extension reserve</t>
  </si>
  <si>
    <t>in house</t>
  </si>
  <si>
    <t>yard tap</t>
  </si>
  <si>
    <t>WWTP size</t>
  </si>
  <si>
    <t>t</t>
  </si>
  <si>
    <t>Income - local</t>
  </si>
  <si>
    <t>General Country Values</t>
  </si>
  <si>
    <t>Country Input</t>
  </si>
  <si>
    <t>Comment/Description</t>
  </si>
  <si>
    <t>Hybrid</t>
  </si>
  <si>
    <t># of users discharging</t>
  </si>
  <si>
    <t>BW + GW</t>
  </si>
  <si>
    <t>BW only</t>
  </si>
  <si>
    <t>GW only</t>
  </si>
  <si>
    <t>BOD ratio BW</t>
  </si>
  <si>
    <t>COD ratio BW</t>
  </si>
  <si>
    <t>Nitrogen ratio BW</t>
  </si>
  <si>
    <t>L/(cap.*day)</t>
  </si>
  <si>
    <t>BW</t>
  </si>
  <si>
    <t>GW</t>
  </si>
  <si>
    <t>g/(cap.*day)</t>
  </si>
  <si>
    <t>Unit</t>
  </si>
  <si>
    <t>References</t>
  </si>
  <si>
    <t>Water</t>
  </si>
  <si>
    <t>Pollutants</t>
  </si>
  <si>
    <t>System specific Factors</t>
  </si>
  <si>
    <t>m³/day</t>
  </si>
  <si>
    <t>kg/day</t>
  </si>
  <si>
    <t>-</t>
  </si>
  <si>
    <t>Chosen</t>
  </si>
  <si>
    <t>Peak Flow (1-hr)</t>
  </si>
  <si>
    <t>Concentration</t>
  </si>
  <si>
    <t>Phosphorus ratio BW</t>
  </si>
  <si>
    <t>m³/hr</t>
  </si>
  <si>
    <t>System Design Parameter</t>
  </si>
  <si>
    <t>Palestine</t>
  </si>
  <si>
    <t/>
  </si>
  <si>
    <t>Median (Benchmark Value)</t>
  </si>
  <si>
    <t>Specify the country</t>
  </si>
  <si>
    <t>Benchmark Values</t>
  </si>
  <si>
    <t>Local Climate</t>
  </si>
  <si>
    <t>Reference</t>
  </si>
  <si>
    <t>Wastewater inflow</t>
  </si>
  <si>
    <t>Mixed (BW + GW)</t>
  </si>
  <si>
    <t>Values based on wastewater production and blackwater ratio</t>
  </si>
  <si>
    <t>Universal global benchmark value</t>
  </si>
  <si>
    <t>PFF = 1 + a/(b + SQRT(pop./1000))</t>
  </si>
  <si>
    <t>Currently only values available for "In house" and "Private - full flush"</t>
  </si>
  <si>
    <t>Currently only values available for "Public - unltd" and "Shared - full flush"</t>
  </si>
  <si>
    <t>If 'yard tap' or 'public - ltd' water supply: chose lower values in the selection section!</t>
  </si>
  <si>
    <t>If 'pour flush' sanitation interface: chose lower values in the selection section! Hint: pour flush appr. 25 - 35% of full flush BW</t>
  </si>
  <si>
    <t>System Type</t>
  </si>
  <si>
    <t>System Size</t>
  </si>
  <si>
    <t>Location</t>
  </si>
  <si>
    <t>Specify the average income of the community</t>
  </si>
  <si>
    <t>Intermediate result: World Bank classification of selected region</t>
  </si>
  <si>
    <t>Intermediate result: World Bank definition of income class of selected country</t>
  </si>
  <si>
    <t>Intermediate result: Predominant Climate (Köppen-Geiger definition)</t>
  </si>
  <si>
    <t>Specify the climate of the system's location (can differ from country definition)</t>
  </si>
  <si>
    <t>System Location and Size</t>
  </si>
  <si>
    <t>SSS is benchmark (Factor = 1)</t>
  </si>
  <si>
    <t>Input Parameter</t>
  </si>
  <si>
    <t>Pollutants and Nutrients</t>
  </si>
  <si>
    <t>Load</t>
  </si>
  <si>
    <t>Blackwater only</t>
  </si>
  <si>
    <t>Greywater only</t>
  </si>
  <si>
    <t>Legend</t>
  </si>
  <si>
    <t>Input Headline</t>
  </si>
  <si>
    <t>Input Value</t>
  </si>
  <si>
    <t>Intermediate Result Headline</t>
  </si>
  <si>
    <t>Intermediate Result Value</t>
  </si>
  <si>
    <t>Final Result Headline</t>
  </si>
  <si>
    <t>Final Result Value</t>
  </si>
  <si>
    <t>Headline Level 1</t>
  </si>
  <si>
    <t>Headline Level 2</t>
  </si>
  <si>
    <t>Values for blackwater system</t>
  </si>
  <si>
    <t>Values for greywater system</t>
  </si>
  <si>
    <t>Colour Coding</t>
  </si>
  <si>
    <t>Acronyms</t>
  </si>
  <si>
    <t xml:space="preserve">LI </t>
  </si>
  <si>
    <t>Low-income</t>
  </si>
  <si>
    <t>Lower middle income</t>
  </si>
  <si>
    <t>Upper middle income</t>
  </si>
  <si>
    <t>High-income</t>
  </si>
  <si>
    <t>Simplified Sewer System</t>
  </si>
  <si>
    <t>Community Sanitation Centre</t>
  </si>
  <si>
    <t>Specify the number of users connected to SSS; Note: Each column represents a treatment system (either for mixed, black or greywater)</t>
  </si>
  <si>
    <t>Specify the number of users of CSC; Note: Each column represents a treatment system (either for mixed, black or greywater)</t>
  </si>
  <si>
    <t>Note: Each column represents a treatment system (either for mixed, black or greywater)</t>
  </si>
  <si>
    <t>mg/L</t>
  </si>
  <si>
    <t>Hybrid (SSS + CSC)</t>
  </si>
  <si>
    <t>Hybrid 
(SSS + CSC)</t>
  </si>
  <si>
    <t>Specify the extension reserve of the system(s) in percent; e.g. 0% for gated community, 30% for rapidly growing informal settlement; 10 - 20% typical</t>
  </si>
  <si>
    <t>Special scenario: HH water supply and CSC -&gt; very low greywater prod. Expected</t>
  </si>
  <si>
    <t>Peak Flow Factor</t>
  </si>
  <si>
    <t>Caution, certain factors are not available! May lead to distorted values!</t>
  </si>
  <si>
    <t>Values for mixed wastewater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</si>
</sst>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8" formatCode="0.0"/>
    <numFmt numFmtId="170" formatCode="&quot;Global (w/o&quot;\ @\ &quot;)&quot;\ "/>
    <numFmt numFmtId="173" formatCode="\a\ \=\ #.##"/>
    <numFmt numFmtId="174" formatCode="&quot;b =&quot;\ #.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quotePrefix="1"/>
    <xf numFmtId="0" fontId="4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7" fontId="0" fillId="0" borderId="0" xfId="0" quotePrefix="1" applyNumberFormat="1"/>
    <xf numFmtId="0" fontId="4" fillId="0" borderId="0" xfId="0" applyFont="1" applyAlignment="1"/>
    <xf numFmtId="0" fontId="4" fillId="0" borderId="57" xfId="0" applyFont="1" applyBorder="1"/>
    <xf numFmtId="0" fontId="0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5" fillId="2" borderId="13" xfId="0" applyFont="1" applyFill="1" applyBorder="1"/>
    <xf numFmtId="0" fontId="6" fillId="3" borderId="13" xfId="0" applyFont="1" applyFill="1" applyBorder="1"/>
    <xf numFmtId="0" fontId="5" fillId="2" borderId="0" xfId="0" applyFont="1" applyFill="1" applyBorder="1"/>
    <xf numFmtId="0" fontId="6" fillId="3" borderId="0" xfId="0" applyFont="1" applyFill="1" applyBorder="1"/>
    <xf numFmtId="0" fontId="5" fillId="2" borderId="3" xfId="0" applyFont="1" applyFill="1" applyBorder="1"/>
    <xf numFmtId="0" fontId="6" fillId="3" borderId="3" xfId="0" applyFont="1" applyFill="1" applyBorder="1"/>
    <xf numFmtId="9" fontId="6" fillId="0" borderId="0" xfId="1" applyFont="1"/>
    <xf numFmtId="9" fontId="6" fillId="0" borderId="0" xfId="0" applyNumberFormat="1" applyFont="1"/>
    <xf numFmtId="0" fontId="6" fillId="0" borderId="0" xfId="0" applyFont="1" applyFill="1" applyBorder="1"/>
    <xf numFmtId="9" fontId="6" fillId="0" borderId="0" xfId="1" applyFont="1" applyFill="1" applyBorder="1"/>
    <xf numFmtId="0" fontId="6" fillId="0" borderId="0" xfId="0" applyFont="1" applyBorder="1"/>
    <xf numFmtId="0" fontId="9" fillId="0" borderId="0" xfId="0" applyFont="1"/>
    <xf numFmtId="1" fontId="9" fillId="0" borderId="4" xfId="1" applyNumberFormat="1" applyFont="1" applyBorder="1" applyAlignment="1">
      <alignment horizontal="right" vertical="center" wrapText="1"/>
    </xf>
    <xf numFmtId="9" fontId="9" fillId="0" borderId="5" xfId="1" applyFont="1" applyBorder="1" applyAlignment="1">
      <alignment horizontal="right" vertical="center" wrapText="1"/>
    </xf>
    <xf numFmtId="1" fontId="9" fillId="0" borderId="5" xfId="1" applyNumberFormat="1" applyFont="1" applyBorder="1" applyAlignment="1">
      <alignment horizontal="right" vertical="center" wrapText="1"/>
    </xf>
    <xf numFmtId="2" fontId="9" fillId="0" borderId="5" xfId="1" applyNumberFormat="1" applyFont="1" applyBorder="1" applyAlignment="1">
      <alignment horizontal="right" vertical="center" wrapText="1"/>
    </xf>
    <xf numFmtId="2" fontId="9" fillId="0" borderId="6" xfId="1" applyNumberFormat="1" applyFont="1" applyBorder="1" applyAlignment="1">
      <alignment horizontal="right" vertical="center" wrapText="1"/>
    </xf>
    <xf numFmtId="2" fontId="9" fillId="0" borderId="4" xfId="1" applyNumberFormat="1" applyFont="1" applyBorder="1" applyAlignment="1">
      <alignment horizontal="right" vertical="center" wrapText="1"/>
    </xf>
    <xf numFmtId="2" fontId="9" fillId="0" borderId="32" xfId="1" applyNumberFormat="1" applyFont="1" applyBorder="1" applyAlignment="1">
      <alignment horizontal="right" vertical="center" wrapText="1"/>
    </xf>
    <xf numFmtId="2" fontId="9" fillId="0" borderId="19" xfId="1" applyNumberFormat="1" applyFont="1" applyBorder="1" applyAlignment="1">
      <alignment horizontal="right" vertical="center" wrapText="1"/>
    </xf>
    <xf numFmtId="2" fontId="9" fillId="0" borderId="28" xfId="1" applyNumberFormat="1" applyFont="1" applyBorder="1" applyAlignment="1">
      <alignment horizontal="right" vertical="center" wrapText="1"/>
    </xf>
    <xf numFmtId="2" fontId="9" fillId="0" borderId="33" xfId="1" applyNumberFormat="1" applyFont="1" applyBorder="1" applyAlignment="1">
      <alignment horizontal="right" vertical="center" wrapText="1"/>
    </xf>
    <xf numFmtId="2" fontId="9" fillId="0" borderId="29" xfId="1" applyNumberFormat="1" applyFont="1" applyBorder="1" applyAlignment="1">
      <alignment horizontal="right" vertical="center" wrapText="1"/>
    </xf>
    <xf numFmtId="2" fontId="9" fillId="0" borderId="31" xfId="1" applyNumberFormat="1" applyFont="1" applyBorder="1" applyAlignment="1">
      <alignment horizontal="right" vertical="center" wrapText="1"/>
    </xf>
    <xf numFmtId="2" fontId="9" fillId="0" borderId="30" xfId="1" applyNumberFormat="1" applyFont="1" applyBorder="1" applyAlignment="1">
      <alignment horizontal="right" vertical="center" wrapText="1"/>
    </xf>
    <xf numFmtId="2" fontId="9" fillId="0" borderId="7" xfId="1" applyNumberFormat="1" applyFont="1" applyBorder="1" applyAlignment="1">
      <alignment horizontal="right"/>
    </xf>
    <xf numFmtId="2" fontId="9" fillId="0" borderId="27" xfId="1" applyNumberFormat="1" applyFont="1" applyFill="1" applyBorder="1" applyAlignment="1">
      <alignment horizontal="right"/>
    </xf>
    <xf numFmtId="2" fontId="9" fillId="0" borderId="1" xfId="1" applyNumberFormat="1" applyFont="1" applyFill="1" applyBorder="1" applyAlignment="1">
      <alignment horizontal="right"/>
    </xf>
    <xf numFmtId="2" fontId="9" fillId="0" borderId="1" xfId="1" applyNumberFormat="1" applyFont="1" applyBorder="1" applyAlignment="1">
      <alignment horizontal="right"/>
    </xf>
    <xf numFmtId="2" fontId="9" fillId="0" borderId="2" xfId="1" applyNumberFormat="1" applyFont="1" applyBorder="1" applyAlignment="1">
      <alignment horizontal="right"/>
    </xf>
    <xf numFmtId="2" fontId="9" fillId="0" borderId="8" xfId="1" applyNumberFormat="1" applyFont="1" applyBorder="1" applyAlignment="1">
      <alignment horizontal="right"/>
    </xf>
    <xf numFmtId="2" fontId="9" fillId="0" borderId="9" xfId="1" applyNumberFormat="1" applyFont="1" applyBorder="1" applyAlignment="1">
      <alignment horizontal="right"/>
    </xf>
    <xf numFmtId="2" fontId="9" fillId="0" borderId="34" xfId="1" applyNumberFormat="1" applyFont="1" applyFill="1" applyBorder="1" applyAlignment="1">
      <alignment horizontal="right"/>
    </xf>
    <xf numFmtId="2" fontId="9" fillId="0" borderId="10" xfId="1" applyNumberFormat="1" applyFont="1" applyFill="1" applyBorder="1" applyAlignment="1">
      <alignment horizontal="right"/>
    </xf>
    <xf numFmtId="2" fontId="9" fillId="0" borderId="10" xfId="1" applyNumberFormat="1" applyFont="1" applyBorder="1" applyAlignment="1">
      <alignment horizontal="right"/>
    </xf>
    <xf numFmtId="2" fontId="9" fillId="0" borderId="20" xfId="1" applyNumberFormat="1" applyFont="1" applyBorder="1" applyAlignment="1">
      <alignment horizontal="right"/>
    </xf>
    <xf numFmtId="2" fontId="9" fillId="0" borderId="11" xfId="1" applyNumberFormat="1" applyFont="1" applyBorder="1" applyAlignment="1">
      <alignment horizontal="right"/>
    </xf>
    <xf numFmtId="2" fontId="9" fillId="0" borderId="4" xfId="1" applyNumberFormat="1" applyFont="1" applyFill="1" applyBorder="1" applyAlignment="1">
      <alignment horizontal="right"/>
    </xf>
    <xf numFmtId="2" fontId="9" fillId="0" borderId="32" xfId="1" applyNumberFormat="1" applyFont="1" applyFill="1" applyBorder="1" applyAlignment="1">
      <alignment horizontal="right"/>
    </xf>
    <xf numFmtId="2" fontId="9" fillId="0" borderId="5" xfId="1" applyNumberFormat="1" applyFont="1" applyFill="1" applyBorder="1" applyAlignment="1">
      <alignment horizontal="right"/>
    </xf>
    <xf numFmtId="2" fontId="9" fillId="0" borderId="19" xfId="1" applyNumberFormat="1" applyFont="1" applyFill="1" applyBorder="1" applyAlignment="1">
      <alignment horizontal="right"/>
    </xf>
    <xf numFmtId="2" fontId="9" fillId="0" borderId="6" xfId="1" applyNumberFormat="1" applyFont="1" applyFill="1" applyBorder="1" applyAlignment="1">
      <alignment horizontal="right"/>
    </xf>
    <xf numFmtId="0" fontId="9" fillId="0" borderId="0" xfId="0" applyFont="1" applyFill="1"/>
    <xf numFmtId="2" fontId="9" fillId="0" borderId="7" xfId="1" applyNumberFormat="1" applyFont="1" applyFill="1" applyBorder="1" applyAlignment="1">
      <alignment horizontal="right"/>
    </xf>
    <xf numFmtId="2" fontId="9" fillId="0" borderId="2" xfId="1" applyNumberFormat="1" applyFont="1" applyFill="1" applyBorder="1" applyAlignment="1">
      <alignment horizontal="right"/>
    </xf>
    <xf numFmtId="2" fontId="9" fillId="0" borderId="8" xfId="1" applyNumberFormat="1" applyFont="1" applyFill="1" applyBorder="1" applyAlignment="1">
      <alignment horizontal="right"/>
    </xf>
    <xf numFmtId="2" fontId="9" fillId="0" borderId="9" xfId="1" applyNumberFormat="1" applyFont="1" applyFill="1" applyBorder="1" applyAlignment="1">
      <alignment horizontal="right"/>
    </xf>
    <xf numFmtId="2" fontId="9" fillId="0" borderId="20" xfId="1" applyNumberFormat="1" applyFont="1" applyFill="1" applyBorder="1" applyAlignment="1">
      <alignment horizontal="right"/>
    </xf>
    <xf numFmtId="2" fontId="9" fillId="0" borderId="11" xfId="1" applyNumberFormat="1" applyFont="1" applyFill="1" applyBorder="1" applyAlignment="1">
      <alignment horizontal="right"/>
    </xf>
    <xf numFmtId="2" fontId="9" fillId="0" borderId="35" xfId="1" applyNumberFormat="1" applyFont="1" applyBorder="1" applyAlignment="1">
      <alignment horizontal="right"/>
    </xf>
    <xf numFmtId="2" fontId="9" fillId="0" borderId="48" xfId="1" applyNumberFormat="1" applyFont="1" applyFill="1" applyBorder="1" applyAlignment="1">
      <alignment horizontal="right"/>
    </xf>
    <xf numFmtId="2" fontId="9" fillId="0" borderId="36" xfId="1" applyNumberFormat="1" applyFont="1" applyFill="1" applyBorder="1" applyAlignment="1">
      <alignment horizontal="right"/>
    </xf>
    <xf numFmtId="2" fontId="9" fillId="0" borderId="36" xfId="1" applyNumberFormat="1" applyFont="1" applyBorder="1" applyAlignment="1">
      <alignment horizontal="right"/>
    </xf>
    <xf numFmtId="2" fontId="9" fillId="0" borderId="38" xfId="1" applyNumberFormat="1" applyFont="1" applyBorder="1" applyAlignment="1">
      <alignment horizontal="right"/>
    </xf>
    <xf numFmtId="2" fontId="9" fillId="0" borderId="37" xfId="1" applyNumberFormat="1" applyFont="1" applyBorder="1" applyAlignment="1">
      <alignment horizontal="right"/>
    </xf>
    <xf numFmtId="2" fontId="9" fillId="0" borderId="27" xfId="1" applyNumberFormat="1" applyFont="1" applyBorder="1" applyAlignment="1">
      <alignment horizontal="right"/>
    </xf>
    <xf numFmtId="2" fontId="9" fillId="0" borderId="5" xfId="1" applyNumberFormat="1" applyFont="1" applyBorder="1" applyAlignment="1">
      <alignment horizontal="right"/>
    </xf>
    <xf numFmtId="2" fontId="9" fillId="0" borderId="19" xfId="1" applyNumberFormat="1" applyFont="1" applyBorder="1" applyAlignment="1">
      <alignment horizontal="right"/>
    </xf>
    <xf numFmtId="2" fontId="9" fillId="0" borderId="6" xfId="1" applyNumberFormat="1" applyFont="1" applyBorder="1" applyAlignment="1">
      <alignment horizontal="right"/>
    </xf>
    <xf numFmtId="2" fontId="9" fillId="0" borderId="28" xfId="1" applyNumberFormat="1" applyFont="1" applyFill="1" applyBorder="1" applyAlignment="1">
      <alignment horizontal="right"/>
    </xf>
    <xf numFmtId="2" fontId="9" fillId="0" borderId="33" xfId="1" applyNumberFormat="1" applyFont="1" applyFill="1" applyBorder="1" applyAlignment="1">
      <alignment horizontal="right"/>
    </xf>
    <xf numFmtId="2" fontId="9" fillId="0" borderId="29" xfId="1" applyNumberFormat="1" applyFont="1" applyFill="1" applyBorder="1" applyAlignment="1">
      <alignment horizontal="right"/>
    </xf>
    <xf numFmtId="2" fontId="9" fillId="0" borderId="29" xfId="1" applyNumberFormat="1" applyFont="1" applyBorder="1" applyAlignment="1">
      <alignment horizontal="right"/>
    </xf>
    <xf numFmtId="2" fontId="9" fillId="0" borderId="31" xfId="1" applyNumberFormat="1" applyFont="1" applyBorder="1" applyAlignment="1">
      <alignment horizontal="right"/>
    </xf>
    <xf numFmtId="2" fontId="9" fillId="0" borderId="30" xfId="1" applyNumberFormat="1" applyFont="1" applyBorder="1" applyAlignment="1">
      <alignment horizontal="right"/>
    </xf>
    <xf numFmtId="2" fontId="9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0" fontId="9" fillId="9" borderId="4" xfId="0" applyFont="1" applyFill="1" applyBorder="1" applyAlignment="1">
      <alignment horizontal="left" vertical="center" wrapText="1"/>
    </xf>
    <xf numFmtId="0" fontId="9" fillId="9" borderId="32" xfId="0" applyFont="1" applyFill="1" applyBorder="1" applyAlignment="1">
      <alignment horizontal="left" vertical="center" wrapText="1"/>
    </xf>
    <xf numFmtId="0" fontId="9" fillId="9" borderId="28" xfId="0" applyFont="1" applyFill="1" applyBorder="1" applyAlignment="1">
      <alignment horizontal="left" vertical="center" wrapText="1"/>
    </xf>
    <xf numFmtId="0" fontId="9" fillId="9" borderId="33" xfId="0" applyFont="1" applyFill="1" applyBorder="1" applyAlignment="1">
      <alignment horizontal="left" vertical="center" wrapText="1"/>
    </xf>
    <xf numFmtId="0" fontId="9" fillId="9" borderId="47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left"/>
    </xf>
    <xf numFmtId="0" fontId="9" fillId="9" borderId="7" xfId="0" applyFont="1" applyFill="1" applyBorder="1"/>
    <xf numFmtId="0" fontId="9" fillId="9" borderId="27" xfId="0" applyFont="1" applyFill="1" applyBorder="1"/>
    <xf numFmtId="0" fontId="9" fillId="9" borderId="51" xfId="0" applyFont="1" applyFill="1" applyBorder="1" applyAlignment="1">
      <alignment horizontal="center" vertical="center" wrapText="1"/>
    </xf>
    <xf numFmtId="0" fontId="9" fillId="9" borderId="9" xfId="0" applyFont="1" applyFill="1" applyBorder="1"/>
    <xf numFmtId="0" fontId="9" fillId="9" borderId="34" xfId="0" applyFont="1" applyFill="1" applyBorder="1"/>
    <xf numFmtId="0" fontId="9" fillId="9" borderId="45" xfId="0" applyFont="1" applyFill="1" applyBorder="1" applyAlignment="1">
      <alignment horizontal="center" vertical="center" wrapText="1"/>
    </xf>
    <xf numFmtId="0" fontId="9" fillId="9" borderId="4" xfId="0" applyFont="1" applyFill="1" applyBorder="1"/>
    <xf numFmtId="0" fontId="9" fillId="9" borderId="32" xfId="0" applyFont="1" applyFill="1" applyBorder="1"/>
    <xf numFmtId="0" fontId="9" fillId="9" borderId="35" xfId="0" applyFont="1" applyFill="1" applyBorder="1"/>
    <xf numFmtId="0" fontId="9" fillId="9" borderId="48" xfId="0" applyFont="1" applyFill="1" applyBorder="1"/>
    <xf numFmtId="0" fontId="9" fillId="9" borderId="39" xfId="0" applyFont="1" applyFill="1" applyBorder="1" applyAlignment="1">
      <alignment horizontal="center" vertical="center" wrapText="1"/>
    </xf>
    <xf numFmtId="0" fontId="9" fillId="9" borderId="32" xfId="0" quotePrefix="1" applyFont="1" applyFill="1" applyBorder="1"/>
    <xf numFmtId="0" fontId="9" fillId="9" borderId="27" xfId="0" quotePrefix="1" applyFont="1" applyFill="1" applyBorder="1"/>
    <xf numFmtId="0" fontId="9" fillId="9" borderId="33" xfId="0" quotePrefix="1" applyFont="1" applyFill="1" applyBorder="1"/>
    <xf numFmtId="0" fontId="9" fillId="9" borderId="28" xfId="0" applyFont="1" applyFill="1" applyBorder="1"/>
    <xf numFmtId="0" fontId="9" fillId="9" borderId="64" xfId="0" applyFont="1" applyFill="1" applyBorder="1"/>
    <xf numFmtId="0" fontId="9" fillId="11" borderId="0" xfId="0" applyFont="1" applyFill="1"/>
    <xf numFmtId="0" fontId="0" fillId="11" borderId="0" xfId="0" applyFont="1" applyFill="1"/>
    <xf numFmtId="0" fontId="4" fillId="2" borderId="0" xfId="0" applyFont="1" applyFill="1" applyBorder="1"/>
    <xf numFmtId="0" fontId="9" fillId="9" borderId="6" xfId="0" quotePrefix="1" applyFont="1" applyFill="1" applyBorder="1"/>
    <xf numFmtId="0" fontId="9" fillId="9" borderId="8" xfId="0" quotePrefix="1" applyFont="1" applyFill="1" applyBorder="1"/>
    <xf numFmtId="0" fontId="9" fillId="9" borderId="11" xfId="0" quotePrefix="1" applyFont="1" applyFill="1" applyBorder="1"/>
    <xf numFmtId="0" fontId="9" fillId="9" borderId="63" xfId="0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left" vertical="center" wrapText="1"/>
    </xf>
    <xf numFmtId="0" fontId="9" fillId="9" borderId="35" xfId="0" applyFont="1" applyFill="1" applyBorder="1" applyAlignment="1">
      <alignment horizontal="left" vertical="center" wrapText="1"/>
    </xf>
    <xf numFmtId="0" fontId="0" fillId="9" borderId="19" xfId="0" applyNumberFormat="1" applyFont="1" applyFill="1" applyBorder="1" applyAlignment="1">
      <alignment horizontal="left" vertical="center" wrapText="1"/>
    </xf>
    <xf numFmtId="0" fontId="0" fillId="9" borderId="2" xfId="0" applyNumberFormat="1" applyFont="1" applyFill="1" applyBorder="1" applyAlignment="1">
      <alignment horizontal="left" vertical="center" wrapText="1"/>
    </xf>
    <xf numFmtId="0" fontId="9" fillId="9" borderId="2" xfId="0" applyNumberFormat="1" applyFont="1" applyFill="1" applyBorder="1" applyAlignment="1">
      <alignment horizontal="left" vertical="center" wrapText="1"/>
    </xf>
    <xf numFmtId="0" fontId="0" fillId="9" borderId="20" xfId="0" applyNumberFormat="1" applyFont="1" applyFill="1" applyBorder="1" applyAlignment="1">
      <alignment horizontal="left" vertical="center" wrapText="1"/>
    </xf>
    <xf numFmtId="2" fontId="9" fillId="0" borderId="35" xfId="1" applyNumberFormat="1" applyFont="1" applyBorder="1" applyAlignment="1">
      <alignment horizontal="right" vertical="center" wrapText="1"/>
    </xf>
    <xf numFmtId="2" fontId="9" fillId="0" borderId="48" xfId="1" applyNumberFormat="1" applyFont="1" applyBorder="1" applyAlignment="1">
      <alignment horizontal="right" vertical="center" wrapText="1"/>
    </xf>
    <xf numFmtId="2" fontId="9" fillId="0" borderId="36" xfId="1" applyNumberFormat="1" applyFont="1" applyBorder="1" applyAlignment="1">
      <alignment horizontal="right" vertical="center" wrapText="1"/>
    </xf>
    <xf numFmtId="2" fontId="9" fillId="0" borderId="38" xfId="1" applyNumberFormat="1" applyFont="1" applyBorder="1" applyAlignment="1">
      <alignment horizontal="right" vertical="center" wrapText="1"/>
    </xf>
    <xf numFmtId="2" fontId="9" fillId="0" borderId="37" xfId="1" applyNumberFormat="1" applyFont="1" applyBorder="1" applyAlignment="1">
      <alignment horizontal="right" vertical="center" wrapText="1"/>
    </xf>
    <xf numFmtId="1" fontId="9" fillId="0" borderId="1" xfId="1" applyNumberFormat="1" applyFont="1" applyBorder="1" applyAlignment="1">
      <alignment horizontal="right" vertical="center" wrapText="1"/>
    </xf>
    <xf numFmtId="9" fontId="9" fillId="0" borderId="1" xfId="1" applyFont="1" applyBorder="1" applyAlignment="1">
      <alignment horizontal="right" vertical="center" wrapText="1"/>
    </xf>
    <xf numFmtId="2" fontId="9" fillId="0" borderId="1" xfId="1" applyNumberFormat="1" applyFont="1" applyBorder="1" applyAlignment="1">
      <alignment horizontal="right" vertical="center" wrapText="1"/>
    </xf>
    <xf numFmtId="1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0" fontId="9" fillId="0" borderId="9" xfId="1" applyNumberFormat="1" applyFont="1" applyBorder="1" applyAlignment="1">
      <alignment horizontal="right" vertical="center" wrapText="1"/>
    </xf>
    <xf numFmtId="0" fontId="9" fillId="0" borderId="10" xfId="1" applyNumberFormat="1" applyFont="1" applyBorder="1" applyAlignment="1">
      <alignment horizontal="right" vertical="center" wrapText="1"/>
    </xf>
    <xf numFmtId="0" fontId="9" fillId="0" borderId="11" xfId="1" applyNumberFormat="1" applyFont="1" applyBorder="1" applyAlignment="1">
      <alignment horizontal="right" vertical="center" wrapText="1"/>
    </xf>
    <xf numFmtId="1" fontId="6" fillId="0" borderId="0" xfId="1" applyNumberFormat="1" applyFont="1"/>
    <xf numFmtId="168" fontId="6" fillId="0" borderId="0" xfId="1" applyNumberFormat="1" applyFont="1"/>
    <xf numFmtId="0" fontId="0" fillId="0" borderId="0" xfId="0" applyFont="1" applyFill="1"/>
    <xf numFmtId="0" fontId="9" fillId="9" borderId="17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9" borderId="55" xfId="0" applyFont="1" applyFill="1" applyBorder="1"/>
    <xf numFmtId="173" fontId="9" fillId="9" borderId="60" xfId="0" applyNumberFormat="1" applyFont="1" applyFill="1" applyBorder="1" applyAlignment="1">
      <alignment horizontal="left"/>
    </xf>
    <xf numFmtId="174" fontId="9" fillId="9" borderId="50" xfId="0" applyNumberFormat="1" applyFont="1" applyFill="1" applyBorder="1" applyAlignment="1">
      <alignment horizontal="left"/>
    </xf>
    <xf numFmtId="164" fontId="6" fillId="0" borderId="0" xfId="0" applyNumberFormat="1" applyFont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Alignment="1">
      <alignment wrapText="1"/>
    </xf>
    <xf numFmtId="0" fontId="5" fillId="8" borderId="12" xfId="0" applyFont="1" applyFill="1" applyBorder="1"/>
    <xf numFmtId="0" fontId="6" fillId="7" borderId="13" xfId="0" applyFont="1" applyFill="1" applyBorder="1"/>
    <xf numFmtId="0" fontId="6" fillId="7" borderId="0" xfId="0" applyFont="1" applyFill="1" applyBorder="1"/>
    <xf numFmtId="0" fontId="6" fillId="7" borderId="3" xfId="0" applyFont="1" applyFill="1" applyBorder="1"/>
    <xf numFmtId="0" fontId="10" fillId="5" borderId="12" xfId="0" applyFont="1" applyFill="1" applyBorder="1"/>
    <xf numFmtId="0" fontId="10" fillId="5" borderId="12" xfId="0" applyFont="1" applyFill="1" applyBorder="1" applyAlignment="1"/>
    <xf numFmtId="0" fontId="5" fillId="8" borderId="0" xfId="0" applyFont="1" applyFill="1" applyBorder="1"/>
    <xf numFmtId="0" fontId="0" fillId="7" borderId="0" xfId="0" applyFont="1" applyFill="1" applyBorder="1"/>
    <xf numFmtId="0" fontId="6" fillId="0" borderId="61" xfId="0" applyFont="1" applyBorder="1"/>
    <xf numFmtId="0" fontId="0" fillId="7" borderId="0" xfId="0" quotePrefix="1" applyFont="1" applyFill="1" applyBorder="1"/>
    <xf numFmtId="0" fontId="0" fillId="7" borderId="3" xfId="0" applyFont="1" applyFill="1" applyBorder="1"/>
    <xf numFmtId="0" fontId="0" fillId="3" borderId="0" xfId="0" applyFont="1" applyFill="1" applyBorder="1"/>
    <xf numFmtId="0" fontId="0" fillId="3" borderId="0" xfId="0" quotePrefix="1" applyFont="1" applyFill="1" applyBorder="1" applyAlignment="1">
      <alignment horizontal="center"/>
    </xf>
    <xf numFmtId="9" fontId="6" fillId="0" borderId="0" xfId="1" applyFont="1" applyBorder="1"/>
    <xf numFmtId="0" fontId="0" fillId="3" borderId="13" xfId="0" applyFont="1" applyFill="1" applyBorder="1"/>
    <xf numFmtId="0" fontId="0" fillId="3" borderId="3" xfId="0" applyFont="1" applyFill="1" applyBorder="1"/>
    <xf numFmtId="0" fontId="0" fillId="3" borderId="13" xfId="0" quotePrefix="1" applyFont="1" applyFill="1" applyBorder="1" applyAlignment="1">
      <alignment horizontal="center"/>
    </xf>
    <xf numFmtId="0" fontId="0" fillId="7" borderId="13" xfId="0" applyFont="1" applyFill="1" applyBorder="1"/>
    <xf numFmtId="0" fontId="6" fillId="2" borderId="13" xfId="0" applyFont="1" applyFill="1" applyBorder="1"/>
    <xf numFmtId="0" fontId="12" fillId="5" borderId="12" xfId="0" applyFont="1" applyFill="1" applyBorder="1"/>
    <xf numFmtId="0" fontId="5" fillId="8" borderId="13" xfId="0" applyFont="1" applyFill="1" applyBorder="1"/>
    <xf numFmtId="0" fontId="0" fillId="7" borderId="12" xfId="0" applyFont="1" applyFill="1" applyBorder="1"/>
    <xf numFmtId="0" fontId="6" fillId="7" borderId="12" xfId="0" applyFont="1" applyFill="1" applyBorder="1"/>
    <xf numFmtId="0" fontId="6" fillId="14" borderId="12" xfId="0" applyFont="1" applyFill="1" applyBorder="1"/>
    <xf numFmtId="0" fontId="5" fillId="8" borderId="3" xfId="0" applyFont="1" applyFill="1" applyBorder="1"/>
    <xf numFmtId="0" fontId="6" fillId="5" borderId="12" xfId="0" applyFont="1" applyFill="1" applyBorder="1"/>
    <xf numFmtId="0" fontId="6" fillId="7" borderId="13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center"/>
    </xf>
    <xf numFmtId="0" fontId="4" fillId="12" borderId="0" xfId="0" applyFont="1" applyFill="1" applyBorder="1"/>
    <xf numFmtId="168" fontId="6" fillId="0" borderId="0" xfId="0" applyNumberFormat="1" applyFont="1" applyFill="1" applyBorder="1"/>
    <xf numFmtId="0" fontId="4" fillId="12" borderId="13" xfId="0" applyFont="1" applyFill="1" applyBorder="1"/>
    <xf numFmtId="0" fontId="4" fillId="12" borderId="3" xfId="0" applyFont="1" applyFill="1" applyBorder="1"/>
    <xf numFmtId="0" fontId="4" fillId="5" borderId="0" xfId="0" applyFont="1" applyFill="1" applyBorder="1"/>
    <xf numFmtId="0" fontId="4" fillId="8" borderId="0" xfId="0" applyFont="1" applyFill="1" applyBorder="1"/>
    <xf numFmtId="168" fontId="6" fillId="4" borderId="0" xfId="0" applyNumberFormat="1" applyFont="1" applyFill="1" applyBorder="1" applyAlignment="1">
      <alignment horizontal="center"/>
    </xf>
    <xf numFmtId="168" fontId="6" fillId="4" borderId="13" xfId="0" applyNumberFormat="1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168" fontId="6" fillId="4" borderId="3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13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3" xfId="1" applyNumberFormat="1" applyFont="1" applyFill="1" applyBorder="1" applyAlignment="1">
      <alignment horizontal="center"/>
    </xf>
    <xf numFmtId="168" fontId="6" fillId="3" borderId="0" xfId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8" fontId="6" fillId="3" borderId="3" xfId="0" applyNumberFormat="1" applyFont="1" applyFill="1" applyBorder="1" applyAlignment="1">
      <alignment horizontal="center"/>
    </xf>
    <xf numFmtId="168" fontId="6" fillId="3" borderId="13" xfId="1" applyNumberFormat="1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0" fillId="0" borderId="13" xfId="0" applyFont="1" applyBorder="1"/>
    <xf numFmtId="0" fontId="10" fillId="0" borderId="33" xfId="0" applyFont="1" applyBorder="1"/>
    <xf numFmtId="0" fontId="10" fillId="0" borderId="13" xfId="0" applyFont="1" applyFill="1" applyBorder="1"/>
    <xf numFmtId="0" fontId="4" fillId="0" borderId="18" xfId="0" applyFont="1" applyBorder="1"/>
    <xf numFmtId="0" fontId="4" fillId="0" borderId="0" xfId="0" applyFont="1" applyBorder="1"/>
    <xf numFmtId="0" fontId="4" fillId="0" borderId="38" xfId="0" applyFont="1" applyBorder="1"/>
    <xf numFmtId="0" fontId="0" fillId="0" borderId="3" xfId="0" applyFont="1" applyFill="1" applyBorder="1"/>
    <xf numFmtId="0" fontId="6" fillId="0" borderId="3" xfId="0" applyFont="1" applyFill="1" applyBorder="1"/>
    <xf numFmtId="0" fontId="4" fillId="0" borderId="3" xfId="0" applyFont="1" applyBorder="1"/>
    <xf numFmtId="0" fontId="6" fillId="0" borderId="48" xfId="0" applyFont="1" applyBorder="1"/>
    <xf numFmtId="0" fontId="14" fillId="0" borderId="31" xfId="0" applyFont="1" applyBorder="1"/>
    <xf numFmtId="0" fontId="10" fillId="0" borderId="0" xfId="0" applyFont="1" applyBorder="1"/>
    <xf numFmtId="0" fontId="10" fillId="5" borderId="3" xfId="0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168" fontId="10" fillId="5" borderId="3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 vertical="center"/>
    </xf>
    <xf numFmtId="9" fontId="6" fillId="1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168" fontId="6" fillId="3" borderId="0" xfId="0" applyNumberFormat="1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9" fontId="6" fillId="3" borderId="13" xfId="1" applyFont="1" applyFill="1" applyBorder="1" applyAlignment="1">
      <alignment horizontal="center"/>
    </xf>
    <xf numFmtId="1" fontId="6" fillId="3" borderId="13" xfId="1" applyNumberFormat="1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wrapText="1"/>
    </xf>
    <xf numFmtId="1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left"/>
    </xf>
    <xf numFmtId="168" fontId="6" fillId="3" borderId="13" xfId="0" applyNumberFormat="1" applyFont="1" applyFill="1" applyBorder="1" applyAlignment="1">
      <alignment horizontal="center"/>
    </xf>
    <xf numFmtId="9" fontId="6" fillId="13" borderId="13" xfId="1" applyFont="1" applyFill="1" applyBorder="1" applyAlignment="1">
      <alignment horizontal="center"/>
    </xf>
    <xf numFmtId="168" fontId="6" fillId="3" borderId="13" xfId="1" applyNumberFormat="1" applyFont="1" applyFill="1" applyBorder="1" applyAlignment="1">
      <alignment horizontal="center" vertical="center"/>
    </xf>
    <xf numFmtId="168" fontId="6" fillId="13" borderId="13" xfId="0" applyNumberFormat="1" applyFont="1" applyFill="1" applyBorder="1" applyAlignment="1">
      <alignment horizontal="center"/>
    </xf>
    <xf numFmtId="168" fontId="6" fillId="3" borderId="0" xfId="1" applyNumberFormat="1" applyFont="1" applyFill="1" applyBorder="1" applyAlignment="1">
      <alignment horizontal="center" vertical="center"/>
    </xf>
    <xf numFmtId="168" fontId="6" fillId="13" borderId="0" xfId="0" applyNumberFormat="1" applyFont="1" applyFill="1" applyBorder="1" applyAlignment="1">
      <alignment horizontal="center"/>
    </xf>
    <xf numFmtId="168" fontId="6" fillId="3" borderId="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3" fontId="6" fillId="4" borderId="13" xfId="0" applyNumberFormat="1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0" fontId="11" fillId="14" borderId="45" xfId="0" applyFont="1" applyFill="1" applyBorder="1"/>
    <xf numFmtId="0" fontId="6" fillId="14" borderId="40" xfId="0" applyFont="1" applyFill="1" applyBorder="1"/>
    <xf numFmtId="0" fontId="6" fillId="14" borderId="46" xfId="0" applyFont="1" applyFill="1" applyBorder="1"/>
    <xf numFmtId="0" fontId="10" fillId="5" borderId="41" xfId="0" applyFont="1" applyFill="1" applyBorder="1"/>
    <xf numFmtId="0" fontId="6" fillId="5" borderId="42" xfId="0" applyFont="1" applyFill="1" applyBorder="1"/>
    <xf numFmtId="0" fontId="5" fillId="8" borderId="39" xfId="0" applyFont="1" applyFill="1" applyBorder="1"/>
    <xf numFmtId="0" fontId="6" fillId="7" borderId="67" xfId="0" applyFont="1" applyFill="1" applyBorder="1"/>
    <xf numFmtId="0" fontId="5" fillId="2" borderId="47" xfId="0" applyFont="1" applyFill="1" applyBorder="1"/>
    <xf numFmtId="0" fontId="6" fillId="7" borderId="68" xfId="0" applyFont="1" applyFill="1" applyBorder="1"/>
    <xf numFmtId="0" fontId="5" fillId="2" borderId="39" xfId="0" applyFont="1" applyFill="1" applyBorder="1"/>
    <xf numFmtId="0" fontId="5" fillId="8" borderId="47" xfId="0" applyFont="1" applyFill="1" applyBorder="1"/>
    <xf numFmtId="0" fontId="5" fillId="8" borderId="47" xfId="0" applyFont="1" applyFill="1" applyBorder="1" applyAlignment="1">
      <alignment horizontal="left" indent="2"/>
    </xf>
    <xf numFmtId="0" fontId="6" fillId="0" borderId="23" xfId="0" applyFont="1" applyBorder="1"/>
    <xf numFmtId="0" fontId="6" fillId="0" borderId="24" xfId="0" applyFont="1" applyBorder="1"/>
    <xf numFmtId="0" fontId="10" fillId="5" borderId="67" xfId="0" applyFont="1" applyFill="1" applyBorder="1" applyAlignment="1">
      <alignment horizontal="left" vertical="center"/>
    </xf>
    <xf numFmtId="0" fontId="10" fillId="5" borderId="68" xfId="0" applyFont="1" applyFill="1" applyBorder="1" applyAlignment="1">
      <alignment horizontal="left" vertical="center"/>
    </xf>
    <xf numFmtId="0" fontId="5" fillId="8" borderId="23" xfId="0" applyFont="1" applyFill="1" applyBorder="1"/>
    <xf numFmtId="0" fontId="6" fillId="7" borderId="24" xfId="0" applyFont="1" applyFill="1" applyBorder="1"/>
    <xf numFmtId="0" fontId="5" fillId="8" borderId="41" xfId="0" applyFont="1" applyFill="1" applyBorder="1"/>
    <xf numFmtId="0" fontId="6" fillId="7" borderId="42" xfId="0" applyFont="1" applyFill="1" applyBorder="1"/>
    <xf numFmtId="0" fontId="6" fillId="0" borderId="23" xfId="0" applyFont="1" applyFill="1" applyBorder="1"/>
    <xf numFmtId="0" fontId="6" fillId="0" borderId="24" xfId="0" applyFont="1" applyFill="1" applyBorder="1"/>
    <xf numFmtId="0" fontId="5" fillId="2" borderId="25" xfId="0" applyFont="1" applyFill="1" applyBorder="1"/>
    <xf numFmtId="0" fontId="6" fillId="2" borderId="44" xfId="0" applyFont="1" applyFill="1" applyBorder="1"/>
    <xf numFmtId="0" fontId="0" fillId="7" borderId="44" xfId="0" applyFont="1" applyFill="1" applyBorder="1"/>
    <xf numFmtId="0" fontId="6" fillId="7" borderId="44" xfId="0" applyFont="1" applyFill="1" applyBorder="1"/>
    <xf numFmtId="0" fontId="6" fillId="7" borderId="26" xfId="0" applyFont="1" applyFill="1" applyBorder="1"/>
    <xf numFmtId="0" fontId="13" fillId="14" borderId="40" xfId="0" applyFont="1" applyFill="1" applyBorder="1"/>
    <xf numFmtId="0" fontId="11" fillId="14" borderId="40" xfId="0" applyFont="1" applyFill="1" applyBorder="1" applyAlignment="1"/>
    <xf numFmtId="0" fontId="5" fillId="2" borderId="23" xfId="0" applyFont="1" applyFill="1" applyBorder="1"/>
    <xf numFmtId="0" fontId="15" fillId="14" borderId="41" xfId="0" applyFont="1" applyFill="1" applyBorder="1"/>
    <xf numFmtId="0" fontId="6" fillId="14" borderId="42" xfId="0" applyFont="1" applyFill="1" applyBorder="1"/>
    <xf numFmtId="0" fontId="12" fillId="5" borderId="42" xfId="0" applyFont="1" applyFill="1" applyBorder="1"/>
    <xf numFmtId="0" fontId="0" fillId="7" borderId="56" xfId="0" applyFont="1" applyFill="1" applyBorder="1"/>
    <xf numFmtId="0" fontId="6" fillId="7" borderId="56" xfId="0" applyFont="1" applyFill="1" applyBorder="1"/>
    <xf numFmtId="0" fontId="6" fillId="7" borderId="69" xfId="0" applyFont="1" applyFill="1" applyBorder="1"/>
    <xf numFmtId="0" fontId="14" fillId="0" borderId="39" xfId="0" applyFont="1" applyBorder="1"/>
    <xf numFmtId="0" fontId="10" fillId="0" borderId="24" xfId="0" applyFont="1" applyBorder="1"/>
    <xf numFmtId="0" fontId="4" fillId="14" borderId="23" xfId="0" applyFont="1" applyFill="1" applyBorder="1"/>
    <xf numFmtId="0" fontId="4" fillId="8" borderId="23" xfId="0" applyFont="1" applyFill="1" applyBorder="1"/>
    <xf numFmtId="0" fontId="4" fillId="2" borderId="23" xfId="0" applyFont="1" applyFill="1" applyBorder="1"/>
    <xf numFmtId="0" fontId="4" fillId="12" borderId="23" xfId="0" applyFont="1" applyFill="1" applyBorder="1"/>
    <xf numFmtId="0" fontId="4" fillId="15" borderId="25" xfId="0" applyFont="1" applyFill="1" applyBorder="1"/>
    <xf numFmtId="0" fontId="4" fillId="15" borderId="44" xfId="0" applyFont="1" applyFill="1" applyBorder="1"/>
    <xf numFmtId="0" fontId="4" fillId="15" borderId="44" xfId="0" applyFont="1" applyFill="1" applyBorder="1" applyAlignment="1">
      <alignment horizontal="left"/>
    </xf>
    <xf numFmtId="0" fontId="4" fillId="15" borderId="70" xfId="0" applyFont="1" applyFill="1" applyBorder="1" applyAlignment="1">
      <alignment horizontal="left"/>
    </xf>
    <xf numFmtId="0" fontId="6" fillId="0" borderId="44" xfId="0" applyFont="1" applyBorder="1"/>
    <xf numFmtId="0" fontId="4" fillId="0" borderId="44" xfId="0" applyFont="1" applyBorder="1"/>
    <xf numFmtId="0" fontId="0" fillId="0" borderId="44" xfId="0" applyFont="1" applyFill="1" applyBorder="1"/>
    <xf numFmtId="0" fontId="6" fillId="0" borderId="44" xfId="0" applyFont="1" applyFill="1" applyBorder="1"/>
    <xf numFmtId="0" fontId="6" fillId="0" borderId="26" xfId="0" applyFont="1" applyBorder="1"/>
    <xf numFmtId="9" fontId="6" fillId="14" borderId="40" xfId="1" applyFont="1" applyFill="1" applyBorder="1"/>
    <xf numFmtId="0" fontId="5" fillId="2" borderId="39" xfId="0" applyFont="1" applyFill="1" applyBorder="1" applyAlignment="1">
      <alignment vertical="center"/>
    </xf>
    <xf numFmtId="0" fontId="0" fillId="7" borderId="67" xfId="0" applyFont="1" applyFill="1" applyBorder="1" applyAlignment="1">
      <alignment wrapText="1"/>
    </xf>
    <xf numFmtId="0" fontId="5" fillId="2" borderId="23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0" fillId="7" borderId="68" xfId="0" applyFont="1" applyFill="1" applyBorder="1" applyAlignment="1">
      <alignment wrapText="1"/>
    </xf>
    <xf numFmtId="0" fontId="0" fillId="7" borderId="24" xfId="0" applyFont="1" applyFill="1" applyBorder="1"/>
    <xf numFmtId="0" fontId="0" fillId="7" borderId="68" xfId="0" applyFont="1" applyFill="1" applyBorder="1"/>
    <xf numFmtId="9" fontId="6" fillId="7" borderId="24" xfId="0" applyNumberFormat="1" applyFont="1" applyFill="1" applyBorder="1" applyAlignment="1">
      <alignment horizontal="left"/>
    </xf>
    <xf numFmtId="9" fontId="6" fillId="7" borderId="68" xfId="0" applyNumberFormat="1" applyFont="1" applyFill="1" applyBorder="1" applyAlignment="1">
      <alignment horizontal="left"/>
    </xf>
    <xf numFmtId="0" fontId="6" fillId="7" borderId="67" xfId="0" applyFont="1" applyFill="1" applyBorder="1" applyAlignment="1">
      <alignment horizontal="left"/>
    </xf>
    <xf numFmtId="0" fontId="5" fillId="2" borderId="44" xfId="0" applyFont="1" applyFill="1" applyBorder="1"/>
    <xf numFmtId="168" fontId="6" fillId="3" borderId="44" xfId="0" applyNumberFormat="1" applyFont="1" applyFill="1" applyBorder="1" applyAlignment="1">
      <alignment horizontal="center"/>
    </xf>
    <xf numFmtId="168" fontId="6" fillId="3" borderId="44" xfId="0" applyNumberFormat="1" applyFont="1" applyFill="1" applyBorder="1" applyAlignment="1">
      <alignment horizontal="center" vertical="center"/>
    </xf>
    <xf numFmtId="168" fontId="6" fillId="3" borderId="44" xfId="1" applyNumberFormat="1" applyFont="1" applyFill="1" applyBorder="1" applyAlignment="1">
      <alignment horizontal="center"/>
    </xf>
    <xf numFmtId="0" fontId="6" fillId="3" borderId="44" xfId="0" applyFont="1" applyFill="1" applyBorder="1"/>
    <xf numFmtId="9" fontId="6" fillId="7" borderId="26" xfId="0" applyNumberFormat="1" applyFont="1" applyFill="1" applyBorder="1" applyAlignment="1">
      <alignment horizontal="left"/>
    </xf>
    <xf numFmtId="0" fontId="12" fillId="14" borderId="40" xfId="0" applyFont="1" applyFill="1" applyBorder="1"/>
    <xf numFmtId="0" fontId="5" fillId="0" borderId="23" xfId="0" quotePrefix="1" applyFont="1" applyFill="1" applyBorder="1"/>
    <xf numFmtId="0" fontId="4" fillId="12" borderId="44" xfId="0" applyFont="1" applyFill="1" applyBorder="1"/>
    <xf numFmtId="168" fontId="6" fillId="4" borderId="44" xfId="0" applyNumberFormat="1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3" fontId="6" fillId="4" borderId="44" xfId="0" applyNumberFormat="1" applyFont="1" applyFill="1" applyBorder="1" applyAlignment="1">
      <alignment horizontal="center"/>
    </xf>
    <xf numFmtId="0" fontId="0" fillId="4" borderId="44" xfId="0" applyFont="1" applyFill="1" applyBorder="1" applyAlignment="1">
      <alignment horizontal="center"/>
    </xf>
    <xf numFmtId="0" fontId="4" fillId="2" borderId="47" xfId="0" applyFont="1" applyFill="1" applyBorder="1"/>
    <xf numFmtId="0" fontId="8" fillId="5" borderId="52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8" fillId="5" borderId="65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170" fontId="9" fillId="9" borderId="64" xfId="0" applyNumberFormat="1" applyFont="1" applyFill="1" applyBorder="1" applyAlignment="1">
      <alignment horizontal="center" vertical="center" wrapText="1"/>
    </xf>
    <xf numFmtId="170" fontId="9" fillId="9" borderId="66" xfId="0" applyNumberFormat="1" applyFont="1" applyFill="1" applyBorder="1" applyAlignment="1">
      <alignment horizontal="center" vertical="center" wrapText="1"/>
    </xf>
    <xf numFmtId="170" fontId="9" fillId="9" borderId="49" xfId="0" applyNumberFormat="1" applyFont="1" applyFill="1" applyBorder="1" applyAlignment="1">
      <alignment horizontal="center" vertical="center" wrapText="1"/>
    </xf>
    <xf numFmtId="0" fontId="9" fillId="9" borderId="58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59" xfId="0" applyFont="1" applyFill="1" applyBorder="1" applyAlignment="1">
      <alignment horizontal="center" vertical="center" wrapText="1"/>
    </xf>
    <xf numFmtId="0" fontId="0" fillId="9" borderId="58" xfId="0" applyFont="1" applyFill="1" applyBorder="1" applyAlignment="1">
      <alignment horizontal="center" vertical="center" wrapText="1"/>
    </xf>
    <xf numFmtId="0" fontId="0" fillId="9" borderId="14" xfId="0" applyFont="1" applyFill="1" applyBorder="1" applyAlignment="1">
      <alignment horizontal="center" vertical="center" wrapText="1"/>
    </xf>
    <xf numFmtId="0" fontId="0" fillId="9" borderId="59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left" vertical="center"/>
    </xf>
    <xf numFmtId="0" fontId="10" fillId="5" borderId="47" xfId="0" applyFont="1" applyFill="1" applyBorder="1" applyAlignment="1">
      <alignment horizontal="left" vertical="center"/>
    </xf>
    <xf numFmtId="0" fontId="4" fillId="13" borderId="0" xfId="0" applyFont="1" applyFill="1" applyBorder="1" applyAlignment="1">
      <alignment horizontal="left"/>
    </xf>
    <xf numFmtId="0" fontId="4" fillId="13" borderId="61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left"/>
    </xf>
    <xf numFmtId="0" fontId="6" fillId="13" borderId="3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9" fontId="0" fillId="13" borderId="12" xfId="1" applyFont="1" applyFill="1" applyBorder="1" applyAlignment="1">
      <alignment horizontal="center"/>
    </xf>
    <xf numFmtId="9" fontId="6" fillId="13" borderId="12" xfId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61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4" fillId="7" borderId="61" xfId="0" applyFont="1" applyFill="1" applyBorder="1" applyAlignment="1">
      <alignment horizontal="left"/>
    </xf>
    <xf numFmtId="168" fontId="6" fillId="4" borderId="0" xfId="0" applyNumberFormat="1" applyFont="1" applyFill="1" applyBorder="1" applyAlignment="1">
      <alignment horizontal="center"/>
    </xf>
    <xf numFmtId="168" fontId="6" fillId="4" borderId="13" xfId="0" applyNumberFormat="1" applyFont="1" applyFill="1" applyBorder="1" applyAlignment="1">
      <alignment horizontal="center"/>
    </xf>
    <xf numFmtId="168" fontId="6" fillId="4" borderId="3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61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" fillId="12" borderId="39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4" fillId="12" borderId="47" xfId="0" applyFont="1" applyFill="1" applyBorder="1" applyAlignment="1">
      <alignment horizontal="left" vertical="center" wrapText="1"/>
    </xf>
    <xf numFmtId="2" fontId="6" fillId="3" borderId="3" xfId="1" applyNumberFormat="1" applyFont="1" applyFill="1" applyBorder="1" applyAlignment="1">
      <alignment horizontal="center"/>
    </xf>
    <xf numFmtId="2" fontId="6" fillId="3" borderId="13" xfId="1" applyNumberFormat="1" applyFont="1" applyFill="1" applyBorder="1" applyAlignment="1">
      <alignment horizontal="center"/>
    </xf>
    <xf numFmtId="0" fontId="10" fillId="5" borderId="41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4" fillId="2" borderId="51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left"/>
    </xf>
    <xf numFmtId="0" fontId="5" fillId="2" borderId="47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39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39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1" fontId="6" fillId="3" borderId="56" xfId="1" applyNumberFormat="1" applyFont="1" applyFill="1" applyBorder="1" applyAlignment="1">
      <alignment horizontal="center"/>
    </xf>
    <xf numFmtId="9" fontId="10" fillId="5" borderId="12" xfId="1" applyFont="1" applyFill="1" applyBorder="1" applyAlignment="1">
      <alignment horizontal="center"/>
    </xf>
    <xf numFmtId="2" fontId="6" fillId="3" borderId="56" xfId="0" applyNumberFormat="1" applyFont="1" applyFill="1" applyBorder="1" applyAlignment="1">
      <alignment horizontal="center"/>
    </xf>
    <xf numFmtId="0" fontId="5" fillId="12" borderId="39" xfId="0" applyFont="1" applyFill="1" applyBorder="1" applyAlignment="1">
      <alignment horizontal="left" vertical="center"/>
    </xf>
    <xf numFmtId="0" fontId="5" fillId="12" borderId="23" xfId="0" applyFont="1" applyFill="1" applyBorder="1" applyAlignment="1">
      <alignment horizontal="left" vertical="center"/>
    </xf>
    <xf numFmtId="0" fontId="5" fillId="12" borderId="47" xfId="0" applyFont="1" applyFill="1" applyBorder="1" applyAlignment="1">
      <alignment horizontal="left" vertical="center"/>
    </xf>
    <xf numFmtId="0" fontId="5" fillId="12" borderId="25" xfId="0" applyFont="1" applyFill="1" applyBorder="1" applyAlignment="1">
      <alignment horizontal="left" vertical="center"/>
    </xf>
    <xf numFmtId="0" fontId="5" fillId="12" borderId="39" xfId="0" quotePrefix="1" applyFont="1" applyFill="1" applyBorder="1" applyAlignment="1">
      <alignment horizontal="left" vertical="center"/>
    </xf>
    <xf numFmtId="0" fontId="5" fillId="12" borderId="23" xfId="0" quotePrefix="1" applyFont="1" applyFill="1" applyBorder="1" applyAlignment="1">
      <alignment horizontal="left" vertical="center"/>
    </xf>
    <xf numFmtId="0" fontId="5" fillId="12" borderId="47" xfId="0" quotePrefix="1" applyFont="1" applyFill="1" applyBorder="1" applyAlignment="1">
      <alignment horizontal="left" vertical="center"/>
    </xf>
    <xf numFmtId="0" fontId="10" fillId="5" borderId="39" xfId="0" quotePrefix="1" applyFont="1" applyFill="1" applyBorder="1" applyAlignment="1">
      <alignment horizontal="left" vertical="center"/>
    </xf>
    <xf numFmtId="0" fontId="10" fillId="5" borderId="13" xfId="0" quotePrefix="1" applyFont="1" applyFill="1" applyBorder="1" applyAlignment="1">
      <alignment horizontal="left" vertical="center"/>
    </xf>
    <xf numFmtId="0" fontId="10" fillId="5" borderId="47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6" fillId="4" borderId="3" xfId="0" quotePrefix="1" applyFont="1" applyFill="1" applyBorder="1" applyAlignment="1">
      <alignment horizontal="center"/>
    </xf>
    <xf numFmtId="0" fontId="6" fillId="4" borderId="0" xfId="0" quotePrefix="1" applyFont="1" applyFill="1" applyBorder="1" applyAlignment="1">
      <alignment horizontal="center"/>
    </xf>
    <xf numFmtId="168" fontId="10" fillId="5" borderId="13" xfId="0" applyNumberFormat="1" applyFont="1" applyFill="1" applyBorder="1" applyAlignment="1">
      <alignment horizontal="center"/>
    </xf>
    <xf numFmtId="0" fontId="4" fillId="12" borderId="39" xfId="0" quotePrefix="1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6" fillId="4" borderId="13" xfId="0" quotePrefix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10" borderId="52" xfId="0" applyFont="1" applyFill="1" applyBorder="1" applyAlignment="1">
      <alignment horizontal="center" vertical="center" wrapText="1"/>
    </xf>
    <xf numFmtId="0" fontId="8" fillId="10" borderId="62" xfId="0" applyFont="1" applyFill="1" applyBorder="1" applyAlignment="1">
      <alignment horizontal="center" vertical="center" wrapText="1"/>
    </xf>
    <xf numFmtId="0" fontId="8" fillId="10" borderId="6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5">
    <dxf>
      <font>
        <color theme="8" tint="0.59996337778862885"/>
      </font>
    </dxf>
    <dxf>
      <font>
        <color theme="8" tint="0.59996337778862885"/>
      </font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Archive/PE_values_sampling_+_database_lognormal_distributed%20min%20m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terature"/>
      <sheetName val="Sampling"/>
      <sheetName val="1.) Database - raw"/>
      <sheetName val="2.) Database - clean"/>
      <sheetName val="3.) Database - output"/>
      <sheetName val="4.) Design parameter - UI"/>
      <sheetName val="Dropdown"/>
      <sheetName val="Factors number"/>
      <sheetName val="test"/>
      <sheetName val="Norm.Distr. CDF table"/>
      <sheetName val="Analysis Desk Study - Inc vs Wc"/>
      <sheetName val="Peak Flow"/>
      <sheetName val="Water usage"/>
      <sheetName val="Water Flow variation"/>
      <sheetName val="Correlations - regression"/>
      <sheetName val="Calc"/>
      <sheetName val="Example graphs"/>
      <sheetName val="Random numbers"/>
      <sheetName val="Charts a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K23">
            <v>0.1</v>
          </cell>
          <cell r="L23">
            <v>0.2</v>
          </cell>
          <cell r="M23">
            <v>0.30000000000000004</v>
          </cell>
          <cell r="N23">
            <v>0.4</v>
          </cell>
          <cell r="O23">
            <v>0.5</v>
          </cell>
          <cell r="P23">
            <v>0.6</v>
          </cell>
          <cell r="Q23">
            <v>0.7</v>
          </cell>
          <cell r="R23">
            <v>0.79999999999999993</v>
          </cell>
          <cell r="S23">
            <v>0.89999999999999991</v>
          </cell>
          <cell r="T23">
            <v>0.99999999999999989</v>
          </cell>
          <cell r="U23">
            <v>1.0999999999999999</v>
          </cell>
          <cell r="V23">
            <v>1.2</v>
          </cell>
          <cell r="W23">
            <v>1.3</v>
          </cell>
          <cell r="X23">
            <v>1.4000000000000001</v>
          </cell>
          <cell r="Y23">
            <v>1.5000000000000002</v>
          </cell>
          <cell r="Z23">
            <v>1.6000000000000003</v>
          </cell>
          <cell r="AA23">
            <v>1.7000000000000004</v>
          </cell>
          <cell r="AB23">
            <v>1.8000000000000005</v>
          </cell>
          <cell r="AC23">
            <v>1.9000000000000006</v>
          </cell>
          <cell r="AD23">
            <v>2.0000000000000004</v>
          </cell>
        </row>
        <row r="24">
          <cell r="J24">
            <v>0.1</v>
          </cell>
          <cell r="K24">
            <v>0.1</v>
          </cell>
          <cell r="L24">
            <v>0.14142135623730953</v>
          </cell>
          <cell r="M24">
            <v>0.17320508075688776</v>
          </cell>
          <cell r="N24">
            <v>0.2</v>
          </cell>
          <cell r="O24">
            <v>0.22360679774997896</v>
          </cell>
          <cell r="P24">
            <v>0.2449489742783178</v>
          </cell>
          <cell r="Q24">
            <v>0.26457513110645903</v>
          </cell>
          <cell r="R24">
            <v>0.28284271247461901</v>
          </cell>
          <cell r="S24">
            <v>0.3</v>
          </cell>
          <cell r="T24">
            <v>0.31622776601683794</v>
          </cell>
          <cell r="U24">
            <v>0.33166247903553997</v>
          </cell>
          <cell r="V24">
            <v>0.34641016151377546</v>
          </cell>
          <cell r="W24">
            <v>0.36055512754639896</v>
          </cell>
          <cell r="X24">
            <v>0.37416573867739417</v>
          </cell>
          <cell r="Y24">
            <v>0.3872983346207417</v>
          </cell>
          <cell r="Z24">
            <v>0.4</v>
          </cell>
          <cell r="AA24">
            <v>0.41231056256176613</v>
          </cell>
          <cell r="AB24">
            <v>0.42426406871192857</v>
          </cell>
          <cell r="AC24">
            <v>0.43588989435406744</v>
          </cell>
          <cell r="AD24">
            <v>0.44721359549995804</v>
          </cell>
        </row>
        <row r="25">
          <cell r="J25">
            <v>0.2</v>
          </cell>
          <cell r="K25">
            <v>0.14142135623730953</v>
          </cell>
          <cell r="L25">
            <v>0.2</v>
          </cell>
          <cell r="M25">
            <v>0.24494897427831783</v>
          </cell>
          <cell r="N25">
            <v>0.28284271247461906</v>
          </cell>
          <cell r="O25">
            <v>0.31622776601683794</v>
          </cell>
          <cell r="P25">
            <v>0.34641016151377546</v>
          </cell>
          <cell r="Q25">
            <v>0.37416573867739411</v>
          </cell>
          <cell r="R25">
            <v>0.4</v>
          </cell>
          <cell r="S25">
            <v>0.42426406871192851</v>
          </cell>
          <cell r="T25">
            <v>0.44721359549995793</v>
          </cell>
          <cell r="U25">
            <v>0.46904157598234292</v>
          </cell>
          <cell r="V25">
            <v>0.4898979485566356</v>
          </cell>
          <cell r="W25">
            <v>0.50990195135927852</v>
          </cell>
          <cell r="X25">
            <v>0.52915026221291817</v>
          </cell>
          <cell r="Y25">
            <v>0.54772255750516619</v>
          </cell>
          <cell r="Z25">
            <v>0.56568542494923812</v>
          </cell>
          <cell r="AA25">
            <v>0.5830951894845301</v>
          </cell>
          <cell r="AB25">
            <v>0.60000000000000009</v>
          </cell>
          <cell r="AC25">
            <v>0.61644140029689776</v>
          </cell>
          <cell r="AD25">
            <v>0.63245553203367599</v>
          </cell>
        </row>
        <row r="26">
          <cell r="J26">
            <v>0.30000000000000004</v>
          </cell>
          <cell r="K26">
            <v>0.17320508075688776</v>
          </cell>
          <cell r="L26">
            <v>0.24494897427831783</v>
          </cell>
          <cell r="M26">
            <v>0.30000000000000004</v>
          </cell>
          <cell r="N26">
            <v>0.34641016151377552</v>
          </cell>
          <cell r="O26">
            <v>0.3872983346207417</v>
          </cell>
          <cell r="P26">
            <v>0.42426406871192857</v>
          </cell>
          <cell r="Q26">
            <v>0.45825756949558405</v>
          </cell>
          <cell r="R26">
            <v>0.48989794855663565</v>
          </cell>
          <cell r="S26">
            <v>0.51961524227066325</v>
          </cell>
          <cell r="T26">
            <v>0.54772255750516607</v>
          </cell>
          <cell r="U26">
            <v>0.57445626465380284</v>
          </cell>
          <cell r="V26">
            <v>0.60000000000000009</v>
          </cell>
          <cell r="W26">
            <v>0.62449979983983983</v>
          </cell>
          <cell r="X26">
            <v>0.64807406984078608</v>
          </cell>
          <cell r="Y26">
            <v>0.67082039324993703</v>
          </cell>
          <cell r="Z26">
            <v>0.69282032302755103</v>
          </cell>
          <cell r="AA26">
            <v>0.7141428428542852</v>
          </cell>
          <cell r="AB26">
            <v>0.73484692283495356</v>
          </cell>
          <cell r="AC26">
            <v>0.75498344352707514</v>
          </cell>
          <cell r="AD26">
            <v>0.77459666924148352</v>
          </cell>
        </row>
        <row r="27">
          <cell r="J27">
            <v>0.4</v>
          </cell>
          <cell r="K27">
            <v>0.2</v>
          </cell>
          <cell r="L27">
            <v>0.28284271247461906</v>
          </cell>
          <cell r="M27">
            <v>0.34641016151377552</v>
          </cell>
          <cell r="N27">
            <v>0.4</v>
          </cell>
          <cell r="O27">
            <v>0.44721359549995793</v>
          </cell>
          <cell r="P27">
            <v>0.4898979485566356</v>
          </cell>
          <cell r="Q27">
            <v>0.52915026221291805</v>
          </cell>
          <cell r="R27">
            <v>0.56568542494923801</v>
          </cell>
          <cell r="S27">
            <v>0.6</v>
          </cell>
          <cell r="T27">
            <v>0.63245553203367588</v>
          </cell>
          <cell r="U27">
            <v>0.66332495807107994</v>
          </cell>
          <cell r="V27">
            <v>0.69282032302755092</v>
          </cell>
          <cell r="W27">
            <v>0.72111025509279791</v>
          </cell>
          <cell r="X27">
            <v>0.74833147735478833</v>
          </cell>
          <cell r="Y27">
            <v>0.7745966692414834</v>
          </cell>
          <cell r="Z27">
            <v>0.8</v>
          </cell>
          <cell r="AA27">
            <v>0.82462112512353225</v>
          </cell>
          <cell r="AB27">
            <v>0.84852813742385713</v>
          </cell>
          <cell r="AC27">
            <v>0.87177978870813488</v>
          </cell>
          <cell r="AD27">
            <v>0.89442719099991608</v>
          </cell>
        </row>
        <row r="28">
          <cell r="J28">
            <v>0.5</v>
          </cell>
          <cell r="K28">
            <v>0.22360679774997896</v>
          </cell>
          <cell r="L28">
            <v>0.31622776601683794</v>
          </cell>
          <cell r="M28">
            <v>0.3872983346207417</v>
          </cell>
          <cell r="N28">
            <v>0.44721359549995793</v>
          </cell>
          <cell r="O28">
            <v>0.5</v>
          </cell>
          <cell r="P28">
            <v>0.54772255750516607</v>
          </cell>
          <cell r="Q28">
            <v>0.59160797830996159</v>
          </cell>
          <cell r="R28">
            <v>0.63245553203367588</v>
          </cell>
          <cell r="S28">
            <v>0.67082039324993692</v>
          </cell>
          <cell r="T28">
            <v>0.70710678118654746</v>
          </cell>
          <cell r="U28">
            <v>0.74161984870956621</v>
          </cell>
          <cell r="V28">
            <v>0.7745966692414834</v>
          </cell>
          <cell r="W28">
            <v>0.80622577482985502</v>
          </cell>
          <cell r="X28">
            <v>0.83666002653407556</v>
          </cell>
          <cell r="Y28">
            <v>0.86602540378443871</v>
          </cell>
          <cell r="Z28">
            <v>0.89442719099991597</v>
          </cell>
          <cell r="AA28">
            <v>0.92195444572928886</v>
          </cell>
          <cell r="AB28">
            <v>0.94868329805051388</v>
          </cell>
          <cell r="AC28">
            <v>0.97467943448089656</v>
          </cell>
          <cell r="AD28">
            <v>1</v>
          </cell>
        </row>
        <row r="29">
          <cell r="J29">
            <v>0.6</v>
          </cell>
          <cell r="K29">
            <v>0.2449489742783178</v>
          </cell>
          <cell r="L29">
            <v>0.34641016151377546</v>
          </cell>
          <cell r="M29">
            <v>0.42426406871192857</v>
          </cell>
          <cell r="N29">
            <v>0.4898979485566356</v>
          </cell>
          <cell r="O29">
            <v>0.54772255750516607</v>
          </cell>
          <cell r="P29">
            <v>0.6</v>
          </cell>
          <cell r="Q29">
            <v>0.64807406984078597</v>
          </cell>
          <cell r="R29">
            <v>0.69282032302755081</v>
          </cell>
          <cell r="S29">
            <v>0.73484692283495334</v>
          </cell>
          <cell r="T29">
            <v>0.77459666924148329</v>
          </cell>
          <cell r="U29">
            <v>0.81240384046359604</v>
          </cell>
          <cell r="V29">
            <v>0.84852813742385702</v>
          </cell>
          <cell r="W29">
            <v>0.88317608663278468</v>
          </cell>
          <cell r="X29">
            <v>0.9165151389911681</v>
          </cell>
          <cell r="Y29">
            <v>0.94868329805051388</v>
          </cell>
          <cell r="Z29">
            <v>0.97979589711327131</v>
          </cell>
          <cell r="AA29">
            <v>1.0099504938362078</v>
          </cell>
          <cell r="AB29">
            <v>1.0392304845413265</v>
          </cell>
          <cell r="AC29">
            <v>1.0677078252031313</v>
          </cell>
          <cell r="AD29">
            <v>1.0954451150103324</v>
          </cell>
        </row>
        <row r="30">
          <cell r="J30">
            <v>0.7</v>
          </cell>
          <cell r="K30">
            <v>0.26457513110645903</v>
          </cell>
          <cell r="L30">
            <v>0.37416573867739411</v>
          </cell>
          <cell r="M30">
            <v>0.45825756949558405</v>
          </cell>
          <cell r="N30">
            <v>0.52915026221291805</v>
          </cell>
          <cell r="O30">
            <v>0.59160797830996159</v>
          </cell>
          <cell r="P30">
            <v>0.64807406984078597</v>
          </cell>
          <cell r="Q30">
            <v>0.7</v>
          </cell>
          <cell r="R30">
            <v>0.74833147735478822</v>
          </cell>
          <cell r="S30">
            <v>0.79372539331937708</v>
          </cell>
          <cell r="T30">
            <v>0.83666002653407545</v>
          </cell>
          <cell r="U30">
            <v>0.87749643873921213</v>
          </cell>
          <cell r="V30">
            <v>0.91651513899116799</v>
          </cell>
          <cell r="W30">
            <v>0.95393920141694566</v>
          </cell>
          <cell r="X30">
            <v>0.98994949366116658</v>
          </cell>
          <cell r="Y30">
            <v>1.0246950765959599</v>
          </cell>
          <cell r="Z30">
            <v>1.0583005244258363</v>
          </cell>
          <cell r="AA30">
            <v>1.0908712114635715</v>
          </cell>
          <cell r="AB30">
            <v>1.1224972160321824</v>
          </cell>
          <cell r="AC30">
            <v>1.1532562594670797</v>
          </cell>
          <cell r="AD30">
            <v>1.1832159566199232</v>
          </cell>
        </row>
        <row r="31">
          <cell r="J31">
            <v>0.79999999999999993</v>
          </cell>
          <cell r="K31">
            <v>0.28284271247461901</v>
          </cell>
          <cell r="L31">
            <v>0.4</v>
          </cell>
          <cell r="M31">
            <v>0.48989794855663565</v>
          </cell>
          <cell r="N31">
            <v>0.56568542494923801</v>
          </cell>
          <cell r="O31">
            <v>0.63245553203367588</v>
          </cell>
          <cell r="P31">
            <v>0.69282032302755081</v>
          </cell>
          <cell r="Q31">
            <v>0.74833147735478822</v>
          </cell>
          <cell r="R31">
            <v>0.79999999999999993</v>
          </cell>
          <cell r="S31">
            <v>0.84852813742385691</v>
          </cell>
          <cell r="T31">
            <v>0.89442719099991574</v>
          </cell>
          <cell r="U31">
            <v>0.93808315196468584</v>
          </cell>
          <cell r="V31">
            <v>0.9797958971132712</v>
          </cell>
          <cell r="W31">
            <v>1.019803902718557</v>
          </cell>
          <cell r="X31">
            <v>1.0583005244258363</v>
          </cell>
          <cell r="Y31">
            <v>1.0954451150103324</v>
          </cell>
          <cell r="Z31">
            <v>1.1313708498984762</v>
          </cell>
          <cell r="AA31">
            <v>1.1661903789690602</v>
          </cell>
          <cell r="AB31">
            <v>1.2000000000000002</v>
          </cell>
          <cell r="AC31">
            <v>1.2328828005937953</v>
          </cell>
          <cell r="AD31">
            <v>1.2649110640673518</v>
          </cell>
        </row>
        <row r="32">
          <cell r="J32">
            <v>0.89999999999999991</v>
          </cell>
          <cell r="K32">
            <v>0.3</v>
          </cell>
          <cell r="L32">
            <v>0.42426406871192851</v>
          </cell>
          <cell r="M32">
            <v>0.51961524227066325</v>
          </cell>
          <cell r="N32">
            <v>0.6</v>
          </cell>
          <cell r="O32">
            <v>0.67082039324993692</v>
          </cell>
          <cell r="P32">
            <v>0.73484692283495334</v>
          </cell>
          <cell r="Q32">
            <v>0.79372539331937708</v>
          </cell>
          <cell r="R32">
            <v>0.84852813742385691</v>
          </cell>
          <cell r="S32">
            <v>0.89999999999999991</v>
          </cell>
          <cell r="T32">
            <v>0.94868329805051366</v>
          </cell>
          <cell r="U32">
            <v>0.99498743710661985</v>
          </cell>
          <cell r="V32">
            <v>1.0392304845413263</v>
          </cell>
          <cell r="W32">
            <v>1.0816653826391966</v>
          </cell>
          <cell r="X32">
            <v>1.1224972160321824</v>
          </cell>
          <cell r="Y32">
            <v>1.1618950038622251</v>
          </cell>
          <cell r="Z32">
            <v>1.2000000000000002</v>
          </cell>
          <cell r="AA32">
            <v>1.2369316876852983</v>
          </cell>
          <cell r="AB32">
            <v>1.2727922061357857</v>
          </cell>
          <cell r="AC32">
            <v>1.3076696830622023</v>
          </cell>
          <cell r="AD32">
            <v>1.3416407864998738</v>
          </cell>
        </row>
        <row r="33">
          <cell r="J33">
            <v>0.99999999999999989</v>
          </cell>
          <cell r="K33">
            <v>0.31622776601683794</v>
          </cell>
          <cell r="L33">
            <v>0.44721359549995793</v>
          </cell>
          <cell r="M33">
            <v>0.54772255750516607</v>
          </cell>
          <cell r="N33">
            <v>0.63245553203367588</v>
          </cell>
          <cell r="O33">
            <v>0.70710678118654746</v>
          </cell>
          <cell r="P33">
            <v>0.77459666924148329</v>
          </cell>
          <cell r="Q33">
            <v>0.83666002653407545</v>
          </cell>
          <cell r="R33">
            <v>0.89442719099991574</v>
          </cell>
          <cell r="S33">
            <v>0.94868329805051366</v>
          </cell>
          <cell r="T33">
            <v>0.99999999999999989</v>
          </cell>
          <cell r="U33">
            <v>1.0488088481701514</v>
          </cell>
          <cell r="V33">
            <v>1.0954451150103321</v>
          </cell>
          <cell r="W33">
            <v>1.1401754250991378</v>
          </cell>
          <cell r="X33">
            <v>1.1832159566199232</v>
          </cell>
          <cell r="Y33">
            <v>1.2247448713915889</v>
          </cell>
          <cell r="Z33">
            <v>1.2649110640673518</v>
          </cell>
          <cell r="AA33">
            <v>1.3038404810405297</v>
          </cell>
          <cell r="AB33">
            <v>1.3416407864998738</v>
          </cell>
          <cell r="AC33">
            <v>1.3784048752090223</v>
          </cell>
          <cell r="AD33">
            <v>1.4142135623730951</v>
          </cell>
        </row>
        <row r="34">
          <cell r="J34">
            <v>1.0999999999999999</v>
          </cell>
          <cell r="K34">
            <v>0.33166247903553997</v>
          </cell>
          <cell r="L34">
            <v>0.46904157598234292</v>
          </cell>
          <cell r="M34">
            <v>0.57445626465380284</v>
          </cell>
          <cell r="N34">
            <v>0.66332495807107994</v>
          </cell>
          <cell r="O34">
            <v>0.74161984870956621</v>
          </cell>
          <cell r="P34">
            <v>0.81240384046359604</v>
          </cell>
          <cell r="Q34">
            <v>0.87749643873921213</v>
          </cell>
          <cell r="R34">
            <v>0.93808315196468584</v>
          </cell>
          <cell r="S34">
            <v>0.99498743710661985</v>
          </cell>
          <cell r="T34">
            <v>1.0488088481701514</v>
          </cell>
          <cell r="U34">
            <v>1.0999999999999999</v>
          </cell>
          <cell r="V34">
            <v>1.1489125293076057</v>
          </cell>
          <cell r="W34">
            <v>1.1958260743101399</v>
          </cell>
          <cell r="X34">
            <v>1.2409673645990857</v>
          </cell>
          <cell r="Y34">
            <v>1.2845232578665129</v>
          </cell>
          <cell r="Z34">
            <v>1.3266499161421601</v>
          </cell>
          <cell r="AA34">
            <v>1.3674794331177345</v>
          </cell>
          <cell r="AB34">
            <v>1.4071247279470289</v>
          </cell>
          <cell r="AC34">
            <v>1.4456832294800961</v>
          </cell>
          <cell r="AD34">
            <v>1.4832396974191326</v>
          </cell>
        </row>
        <row r="35">
          <cell r="J35">
            <v>1.2</v>
          </cell>
          <cell r="K35">
            <v>0.34641016151377546</v>
          </cell>
          <cell r="L35">
            <v>0.4898979485566356</v>
          </cell>
          <cell r="M35">
            <v>0.60000000000000009</v>
          </cell>
          <cell r="N35">
            <v>0.69282032302755092</v>
          </cell>
          <cell r="O35">
            <v>0.7745966692414834</v>
          </cell>
          <cell r="P35">
            <v>0.84852813742385702</v>
          </cell>
          <cell r="Q35">
            <v>0.91651513899116799</v>
          </cell>
          <cell r="R35">
            <v>0.9797958971132712</v>
          </cell>
          <cell r="S35">
            <v>1.0392304845413263</v>
          </cell>
          <cell r="T35">
            <v>1.0954451150103321</v>
          </cell>
          <cell r="U35">
            <v>1.1489125293076057</v>
          </cell>
          <cell r="V35">
            <v>1.2</v>
          </cell>
          <cell r="W35">
            <v>1.2489995996796797</v>
          </cell>
          <cell r="X35">
            <v>1.2961481396815722</v>
          </cell>
          <cell r="Y35">
            <v>1.3416407864998738</v>
          </cell>
          <cell r="Z35">
            <v>1.3856406460551021</v>
          </cell>
          <cell r="AA35">
            <v>1.4282856857085702</v>
          </cell>
          <cell r="AB35">
            <v>1.4696938456699071</v>
          </cell>
          <cell r="AC35">
            <v>1.5099668870541503</v>
          </cell>
          <cell r="AD35">
            <v>1.5491933384829668</v>
          </cell>
        </row>
        <row r="36">
          <cell r="J36">
            <v>1.3</v>
          </cell>
          <cell r="K36">
            <v>0.36055512754639896</v>
          </cell>
          <cell r="L36">
            <v>0.50990195135927852</v>
          </cell>
          <cell r="M36">
            <v>0.62449979983983983</v>
          </cell>
          <cell r="N36">
            <v>0.72111025509279791</v>
          </cell>
          <cell r="O36">
            <v>0.80622577482985502</v>
          </cell>
          <cell r="P36">
            <v>0.88317608663278468</v>
          </cell>
          <cell r="Q36">
            <v>0.95393920141694566</v>
          </cell>
          <cell r="R36">
            <v>1.019803902718557</v>
          </cell>
          <cell r="S36">
            <v>1.0816653826391966</v>
          </cell>
          <cell r="T36">
            <v>1.1401754250991378</v>
          </cell>
          <cell r="U36">
            <v>1.1958260743101399</v>
          </cell>
          <cell r="V36">
            <v>1.2489995996796797</v>
          </cell>
          <cell r="W36">
            <v>1.3</v>
          </cell>
          <cell r="X36">
            <v>1.3490737563232043</v>
          </cell>
          <cell r="Y36">
            <v>1.3964240043768943</v>
          </cell>
          <cell r="Z36">
            <v>1.4422205101855958</v>
          </cell>
          <cell r="AA36">
            <v>1.4866068747318506</v>
          </cell>
          <cell r="AB36">
            <v>1.5297058540778357</v>
          </cell>
          <cell r="AC36">
            <v>1.5716233645501714</v>
          </cell>
          <cell r="AD36">
            <v>1.61245154965971</v>
          </cell>
        </row>
        <row r="37">
          <cell r="J37">
            <v>1.4000000000000001</v>
          </cell>
          <cell r="K37">
            <v>0.37416573867739417</v>
          </cell>
          <cell r="L37">
            <v>0.52915026221291817</v>
          </cell>
          <cell r="M37">
            <v>0.64807406984078608</v>
          </cell>
          <cell r="N37">
            <v>0.74833147735478833</v>
          </cell>
          <cell r="O37">
            <v>0.83666002653407556</v>
          </cell>
          <cell r="P37">
            <v>0.9165151389911681</v>
          </cell>
          <cell r="Q37">
            <v>0.98994949366116658</v>
          </cell>
          <cell r="R37">
            <v>1.0583005244258363</v>
          </cell>
          <cell r="S37">
            <v>1.1224972160321824</v>
          </cell>
          <cell r="T37">
            <v>1.1832159566199232</v>
          </cell>
          <cell r="U37">
            <v>1.2409673645990857</v>
          </cell>
          <cell r="V37">
            <v>1.2961481396815722</v>
          </cell>
          <cell r="W37">
            <v>1.3490737563232043</v>
          </cell>
          <cell r="X37">
            <v>1.4000000000000001</v>
          </cell>
          <cell r="Y37">
            <v>1.4491376746189439</v>
          </cell>
          <cell r="Z37">
            <v>1.4966629547095767</v>
          </cell>
          <cell r="AA37">
            <v>1.5427248620541516</v>
          </cell>
          <cell r="AB37">
            <v>1.5874507866387546</v>
          </cell>
          <cell r="AC37">
            <v>1.6309506430300094</v>
          </cell>
          <cell r="AD37">
            <v>1.6733200530681513</v>
          </cell>
        </row>
        <row r="38">
          <cell r="J38">
            <v>1.5000000000000002</v>
          </cell>
          <cell r="K38">
            <v>0.3872983346207417</v>
          </cell>
          <cell r="L38">
            <v>0.54772255750516619</v>
          </cell>
          <cell r="M38">
            <v>0.67082039324993703</v>
          </cell>
          <cell r="N38">
            <v>0.7745966692414834</v>
          </cell>
          <cell r="O38">
            <v>0.86602540378443871</v>
          </cell>
          <cell r="P38">
            <v>0.94868329805051388</v>
          </cell>
          <cell r="Q38">
            <v>1.0246950765959599</v>
          </cell>
          <cell r="R38">
            <v>1.0954451150103324</v>
          </cell>
          <cell r="S38">
            <v>1.1618950038622251</v>
          </cell>
          <cell r="T38">
            <v>1.2247448713915889</v>
          </cell>
          <cell r="U38">
            <v>1.2845232578665129</v>
          </cell>
          <cell r="V38">
            <v>1.3416407864998738</v>
          </cell>
          <cell r="W38">
            <v>1.3964240043768943</v>
          </cell>
          <cell r="X38">
            <v>1.4491376746189439</v>
          </cell>
          <cell r="Y38">
            <v>1.5000000000000002</v>
          </cell>
          <cell r="Z38">
            <v>1.549193338482967</v>
          </cell>
          <cell r="AA38">
            <v>1.5968719422671316</v>
          </cell>
          <cell r="AB38">
            <v>1.6431676725154987</v>
          </cell>
          <cell r="AC38">
            <v>1.6881943016134136</v>
          </cell>
          <cell r="AD38">
            <v>1.7320508075688776</v>
          </cell>
        </row>
        <row r="39">
          <cell r="J39">
            <v>1.6000000000000003</v>
          </cell>
          <cell r="K39">
            <v>0.4</v>
          </cell>
          <cell r="L39">
            <v>0.56568542494923812</v>
          </cell>
          <cell r="M39">
            <v>0.69282032302755103</v>
          </cell>
          <cell r="N39">
            <v>0.8</v>
          </cell>
          <cell r="O39">
            <v>0.89442719099991597</v>
          </cell>
          <cell r="P39">
            <v>0.97979589711327131</v>
          </cell>
          <cell r="Q39">
            <v>1.0583005244258363</v>
          </cell>
          <cell r="R39">
            <v>1.1313708498984762</v>
          </cell>
          <cell r="S39">
            <v>1.2000000000000002</v>
          </cell>
          <cell r="T39">
            <v>1.2649110640673518</v>
          </cell>
          <cell r="U39">
            <v>1.3266499161421601</v>
          </cell>
          <cell r="V39">
            <v>1.3856406460551021</v>
          </cell>
          <cell r="W39">
            <v>1.4422205101855958</v>
          </cell>
          <cell r="X39">
            <v>1.4966629547095767</v>
          </cell>
          <cell r="Y39">
            <v>1.549193338482967</v>
          </cell>
          <cell r="Z39">
            <v>1.6000000000000003</v>
          </cell>
          <cell r="AA39">
            <v>1.6492422502470645</v>
          </cell>
          <cell r="AB39">
            <v>1.6970562748477145</v>
          </cell>
          <cell r="AC39">
            <v>1.7435595774162698</v>
          </cell>
          <cell r="AD39">
            <v>1.7888543819998322</v>
          </cell>
        </row>
        <row r="40">
          <cell r="J40">
            <v>1.7000000000000004</v>
          </cell>
          <cell r="K40">
            <v>0.41231056256176613</v>
          </cell>
          <cell r="L40">
            <v>0.5830951894845301</v>
          </cell>
          <cell r="M40">
            <v>0.7141428428542852</v>
          </cell>
          <cell r="N40">
            <v>0.82462112512353225</v>
          </cell>
          <cell r="O40">
            <v>0.92195444572928886</v>
          </cell>
          <cell r="P40">
            <v>1.0099504938362078</v>
          </cell>
          <cell r="Q40">
            <v>1.0908712114635715</v>
          </cell>
          <cell r="R40">
            <v>1.1661903789690602</v>
          </cell>
          <cell r="S40">
            <v>1.2369316876852983</v>
          </cell>
          <cell r="T40">
            <v>1.3038404810405297</v>
          </cell>
          <cell r="U40">
            <v>1.3674794331177345</v>
          </cell>
          <cell r="V40">
            <v>1.4282856857085702</v>
          </cell>
          <cell r="W40">
            <v>1.4866068747318506</v>
          </cell>
          <cell r="X40">
            <v>1.5427248620541516</v>
          </cell>
          <cell r="Y40">
            <v>1.5968719422671316</v>
          </cell>
          <cell r="Z40">
            <v>1.6492422502470645</v>
          </cell>
          <cell r="AA40">
            <v>1.7000000000000004</v>
          </cell>
          <cell r="AB40">
            <v>1.7492855684535906</v>
          </cell>
          <cell r="AC40">
            <v>1.7972200755611434</v>
          </cell>
          <cell r="AD40">
            <v>1.8439088914585779</v>
          </cell>
        </row>
        <row r="41">
          <cell r="J41">
            <v>1.8000000000000005</v>
          </cell>
          <cell r="K41">
            <v>0.42426406871192857</v>
          </cell>
          <cell r="L41">
            <v>0.60000000000000009</v>
          </cell>
          <cell r="M41">
            <v>0.73484692283495356</v>
          </cell>
          <cell r="N41">
            <v>0.84852813742385713</v>
          </cell>
          <cell r="O41">
            <v>0.94868329805051388</v>
          </cell>
          <cell r="P41">
            <v>1.0392304845413265</v>
          </cell>
          <cell r="Q41">
            <v>1.1224972160321824</v>
          </cell>
          <cell r="R41">
            <v>1.2000000000000002</v>
          </cell>
          <cell r="S41">
            <v>1.2727922061357857</v>
          </cell>
          <cell r="T41">
            <v>1.3416407864998738</v>
          </cell>
          <cell r="U41">
            <v>1.4071247279470289</v>
          </cell>
          <cell r="V41">
            <v>1.4696938456699071</v>
          </cell>
          <cell r="W41">
            <v>1.5297058540778357</v>
          </cell>
          <cell r="X41">
            <v>1.5874507866387546</v>
          </cell>
          <cell r="Y41">
            <v>1.6431676725154987</v>
          </cell>
          <cell r="Z41">
            <v>1.6970562748477145</v>
          </cell>
          <cell r="AA41">
            <v>1.7492855684535906</v>
          </cell>
          <cell r="AB41">
            <v>1.8000000000000005</v>
          </cell>
          <cell r="AC41">
            <v>1.8493242008906936</v>
          </cell>
          <cell r="AD41">
            <v>1.897366596101028</v>
          </cell>
        </row>
        <row r="42">
          <cell r="J42">
            <v>1.9000000000000006</v>
          </cell>
          <cell r="K42">
            <v>0.43588989435406744</v>
          </cell>
          <cell r="L42">
            <v>0.61644140029689776</v>
          </cell>
          <cell r="M42">
            <v>0.75498344352707514</v>
          </cell>
          <cell r="N42">
            <v>0.87177978870813488</v>
          </cell>
          <cell r="O42">
            <v>0.97467943448089656</v>
          </cell>
          <cell r="P42">
            <v>1.0677078252031313</v>
          </cell>
          <cell r="Q42">
            <v>1.1532562594670797</v>
          </cell>
          <cell r="R42">
            <v>1.2328828005937953</v>
          </cell>
          <cell r="S42">
            <v>1.3076696830622023</v>
          </cell>
          <cell r="T42">
            <v>1.3784048752090223</v>
          </cell>
          <cell r="U42">
            <v>1.4456832294800961</v>
          </cell>
          <cell r="V42">
            <v>1.5099668870541503</v>
          </cell>
          <cell r="W42">
            <v>1.5716233645501714</v>
          </cell>
          <cell r="X42">
            <v>1.6309506430300094</v>
          </cell>
          <cell r="Y42">
            <v>1.6881943016134136</v>
          </cell>
          <cell r="Z42">
            <v>1.7435595774162698</v>
          </cell>
          <cell r="AA42">
            <v>1.7972200755611434</v>
          </cell>
          <cell r="AB42">
            <v>1.8493242008906936</v>
          </cell>
          <cell r="AC42">
            <v>1.9000000000000006</v>
          </cell>
          <cell r="AD42">
            <v>1.9493588689617933</v>
          </cell>
        </row>
        <row r="43">
          <cell r="J43">
            <v>2.0000000000000004</v>
          </cell>
          <cell r="K43">
            <v>0.44721359549995804</v>
          </cell>
          <cell r="L43">
            <v>0.63245553203367599</v>
          </cell>
          <cell r="M43">
            <v>0.77459666924148352</v>
          </cell>
          <cell r="N43">
            <v>0.89442719099991608</v>
          </cell>
          <cell r="O43">
            <v>1</v>
          </cell>
          <cell r="P43">
            <v>1.0954451150103324</v>
          </cell>
          <cell r="Q43">
            <v>1.1832159566199232</v>
          </cell>
          <cell r="R43">
            <v>1.2649110640673518</v>
          </cell>
          <cell r="S43">
            <v>1.3416407864998738</v>
          </cell>
          <cell r="T43">
            <v>1.4142135623730951</v>
          </cell>
          <cell r="U43">
            <v>1.4832396974191326</v>
          </cell>
          <cell r="V43">
            <v>1.5491933384829668</v>
          </cell>
          <cell r="W43">
            <v>1.61245154965971</v>
          </cell>
          <cell r="X43">
            <v>1.6733200530681513</v>
          </cell>
          <cell r="Y43">
            <v>1.7320508075688776</v>
          </cell>
          <cell r="Z43">
            <v>1.7888543819998322</v>
          </cell>
          <cell r="AA43">
            <v>1.8439088914585779</v>
          </cell>
          <cell r="AB43">
            <v>1.897366596101028</v>
          </cell>
          <cell r="AC43">
            <v>1.9493588689617933</v>
          </cell>
          <cell r="AD43">
            <v>2.0000000000000004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BORDA Africa">
      <a:dk1>
        <a:sysClr val="windowText" lastClr="000000"/>
      </a:dk1>
      <a:lt1>
        <a:sysClr val="window" lastClr="FFFFFF"/>
      </a:lt1>
      <a:dk2>
        <a:srgbClr val="2449A4"/>
      </a:dk2>
      <a:lt2>
        <a:srgbClr val="32BBCE"/>
      </a:lt2>
      <a:accent1>
        <a:srgbClr val="4CBF79"/>
      </a:accent1>
      <a:accent2>
        <a:srgbClr val="E5EC39"/>
      </a:accent2>
      <a:accent3>
        <a:srgbClr val="F8A635"/>
      </a:accent3>
      <a:accent4>
        <a:srgbClr val="F03E52"/>
      </a:accent4>
      <a:accent5>
        <a:srgbClr val="7E51AE"/>
      </a:accent5>
      <a:accent6>
        <a:srgbClr val="FBCA8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66"/>
  <sheetViews>
    <sheetView topLeftCell="A16" workbookViewId="0">
      <selection activeCell="D38" sqref="D38"/>
    </sheetView>
  </sheetViews>
  <sheetFormatPr defaultColWidth="0" defaultRowHeight="15" zeroHeight="1" x14ac:dyDescent="0.25"/>
  <cols>
    <col min="1" max="1" width="13.28515625" style="27" customWidth="1"/>
    <col min="2" max="2" width="14.85546875" style="27" customWidth="1"/>
    <col min="3" max="3" width="38.140625" style="27" bestFit="1" customWidth="1"/>
    <col min="4" max="4" width="30.42578125" style="27" customWidth="1"/>
    <col min="5" max="5" width="14.7109375" style="27" customWidth="1"/>
    <col min="6" max="6" width="12.42578125" style="27" customWidth="1"/>
    <col min="7" max="7" width="12.28515625" style="27" customWidth="1"/>
    <col min="8" max="8" width="15.85546875" style="27" customWidth="1"/>
    <col min="9" max="12" width="11.28515625" style="27" customWidth="1"/>
    <col min="13" max="13" width="6" style="27" bestFit="1" customWidth="1"/>
    <col min="14" max="18" width="11.28515625" style="27" customWidth="1"/>
    <col min="19" max="19" width="5.7109375" style="108" customWidth="1"/>
    <col min="20" max="20" width="9.140625" style="108" hidden="1"/>
    <col min="21" max="21" width="4.7109375" style="108" hidden="1"/>
    <col min="22" max="16384" width="9.140625" style="27" hidden="1"/>
  </cols>
  <sheetData>
    <row r="1" spans="1:21" ht="15.75" customHeight="1" thickBot="1" x14ac:dyDescent="0.3">
      <c r="A1" s="328" t="s">
        <v>157</v>
      </c>
      <c r="B1" s="329"/>
      <c r="C1" s="329"/>
      <c r="D1" s="330"/>
      <c r="E1" s="433" t="s">
        <v>46</v>
      </c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5"/>
    </row>
    <row r="2" spans="1:21" ht="15" customHeight="1" x14ac:dyDescent="0.25">
      <c r="A2" s="331" t="s">
        <v>102</v>
      </c>
      <c r="B2" s="331" t="s">
        <v>136</v>
      </c>
      <c r="C2" s="337" t="s">
        <v>133</v>
      </c>
      <c r="D2" s="339" t="s">
        <v>134</v>
      </c>
      <c r="E2" s="335" t="s">
        <v>12</v>
      </c>
      <c r="F2" s="333" t="s">
        <v>130</v>
      </c>
      <c r="G2" s="333" t="s">
        <v>86</v>
      </c>
      <c r="H2" s="333" t="s">
        <v>89</v>
      </c>
      <c r="I2" s="333" t="s">
        <v>84</v>
      </c>
      <c r="J2" s="333" t="s">
        <v>178</v>
      </c>
      <c r="K2" s="333" t="s">
        <v>83</v>
      </c>
      <c r="L2" s="333" t="s">
        <v>179</v>
      </c>
      <c r="M2" s="333" t="s">
        <v>85</v>
      </c>
      <c r="N2" s="333" t="s">
        <v>43</v>
      </c>
      <c r="O2" s="333" t="s">
        <v>180</v>
      </c>
      <c r="P2" s="333" t="s">
        <v>44</v>
      </c>
      <c r="Q2" s="343" t="s">
        <v>196</v>
      </c>
      <c r="R2" s="341" t="s">
        <v>0</v>
      </c>
    </row>
    <row r="3" spans="1:21" ht="15.75" thickBot="1" x14ac:dyDescent="0.3">
      <c r="A3" s="332"/>
      <c r="B3" s="332"/>
      <c r="C3" s="338"/>
      <c r="D3" s="340"/>
      <c r="E3" s="336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44"/>
      <c r="R3" s="342"/>
    </row>
    <row r="4" spans="1:21" ht="15" customHeight="1" x14ac:dyDescent="0.25">
      <c r="A4" s="137" t="s">
        <v>92</v>
      </c>
      <c r="B4" s="351" t="s">
        <v>203</v>
      </c>
      <c r="C4" s="345" t="s">
        <v>104</v>
      </c>
      <c r="D4" s="117" t="s">
        <v>201</v>
      </c>
      <c r="E4" s="28">
        <v>89.131791898061607</v>
      </c>
      <c r="F4" s="30">
        <v>75.738170064067432</v>
      </c>
      <c r="G4" s="29">
        <v>0.71602921504781358</v>
      </c>
      <c r="H4" s="29">
        <v>0.24447232109611594</v>
      </c>
      <c r="I4" s="30">
        <v>39.731113921481629</v>
      </c>
      <c r="J4" s="29">
        <v>0.57177231272734119</v>
      </c>
      <c r="K4" s="30">
        <v>78.514689322203736</v>
      </c>
      <c r="L4" s="29">
        <v>0.63038652812960871</v>
      </c>
      <c r="M4" s="30">
        <v>49.975664679403451</v>
      </c>
      <c r="N4" s="31">
        <v>8.4144034638205198</v>
      </c>
      <c r="O4" s="29">
        <v>0.87895241860757767</v>
      </c>
      <c r="P4" s="31">
        <v>1.2465062146218484</v>
      </c>
      <c r="Q4" s="29">
        <v>0.78016470887434375</v>
      </c>
      <c r="R4" s="32">
        <v>2.6032560844338755</v>
      </c>
    </row>
    <row r="5" spans="1:21" x14ac:dyDescent="0.25">
      <c r="A5" s="138" t="s">
        <v>92</v>
      </c>
      <c r="B5" s="352"/>
      <c r="C5" s="346"/>
      <c r="D5" s="118" t="s">
        <v>80</v>
      </c>
      <c r="E5" s="129">
        <v>103.69305660377358</v>
      </c>
      <c r="F5" s="126">
        <v>89.519430696057299</v>
      </c>
      <c r="G5" s="127">
        <v>0.73320660622748368</v>
      </c>
      <c r="H5" s="127">
        <v>0.25432178047091997</v>
      </c>
      <c r="I5" s="126">
        <v>43.013219626168222</v>
      </c>
      <c r="J5" s="127"/>
      <c r="K5" s="126">
        <v>87.001364881693647</v>
      </c>
      <c r="L5" s="127"/>
      <c r="M5" s="126">
        <v>53.690068750000002</v>
      </c>
      <c r="N5" s="128">
        <v>9.0789933813987034</v>
      </c>
      <c r="O5" s="127"/>
      <c r="P5" s="128">
        <v>1.5764241045154743</v>
      </c>
      <c r="Q5" s="127"/>
      <c r="R5" s="130">
        <v>2.819342105263158</v>
      </c>
    </row>
    <row r="6" spans="1:21" x14ac:dyDescent="0.25">
      <c r="A6" s="138" t="s">
        <v>92</v>
      </c>
      <c r="B6" s="352"/>
      <c r="C6" s="346"/>
      <c r="D6" s="119" t="s">
        <v>3</v>
      </c>
      <c r="E6" s="129">
        <v>61.645032625061319</v>
      </c>
      <c r="F6" s="126">
        <v>56.406311129750527</v>
      </c>
      <c r="G6" s="127">
        <v>0.16156368859568346</v>
      </c>
      <c r="H6" s="127">
        <v>7.2915643123706061E-2</v>
      </c>
      <c r="I6" s="126">
        <v>17.840894432362028</v>
      </c>
      <c r="J6" s="127"/>
      <c r="K6" s="126">
        <v>41.530198934167018</v>
      </c>
      <c r="L6" s="127"/>
      <c r="M6" s="126">
        <v>21.081308647471563</v>
      </c>
      <c r="N6" s="128">
        <v>3.6789875287152105</v>
      </c>
      <c r="O6" s="127"/>
      <c r="P6" s="128">
        <v>1.2204827086444421</v>
      </c>
      <c r="Q6" s="127"/>
      <c r="R6" s="130">
        <v>1.1723247494526547</v>
      </c>
    </row>
    <row r="7" spans="1:21" ht="15.75" thickBot="1" x14ac:dyDescent="0.3">
      <c r="A7" s="139" t="s">
        <v>92</v>
      </c>
      <c r="B7" s="353"/>
      <c r="C7" s="347"/>
      <c r="D7" s="120" t="s">
        <v>158</v>
      </c>
      <c r="E7" s="131">
        <v>159</v>
      </c>
      <c r="F7" s="132">
        <v>125</v>
      </c>
      <c r="G7" s="132">
        <v>43</v>
      </c>
      <c r="H7" s="132">
        <v>14</v>
      </c>
      <c r="I7" s="132">
        <v>107</v>
      </c>
      <c r="J7" s="132"/>
      <c r="K7" s="132">
        <v>55</v>
      </c>
      <c r="L7" s="132"/>
      <c r="M7" s="132">
        <v>32</v>
      </c>
      <c r="N7" s="132">
        <v>57</v>
      </c>
      <c r="O7" s="132"/>
      <c r="P7" s="132">
        <v>54</v>
      </c>
      <c r="Q7" s="132"/>
      <c r="R7" s="133">
        <v>38</v>
      </c>
    </row>
    <row r="8" spans="1:21" ht="15" customHeight="1" x14ac:dyDescent="0.25">
      <c r="A8" s="114" t="s">
        <v>92</v>
      </c>
      <c r="B8" s="351" t="s">
        <v>131</v>
      </c>
      <c r="C8" s="116" t="s">
        <v>70</v>
      </c>
      <c r="D8" s="115"/>
      <c r="E8" s="121">
        <v>0.94505142864308789</v>
      </c>
      <c r="F8" s="122">
        <v>0.947022905533486</v>
      </c>
      <c r="G8" s="123">
        <v>0.94518506842855643</v>
      </c>
      <c r="H8" s="123" t="s">
        <v>200</v>
      </c>
      <c r="I8" s="123">
        <v>0.96584261207774336</v>
      </c>
      <c r="J8" s="123" t="s">
        <v>200</v>
      </c>
      <c r="K8" s="123">
        <v>0.86837601694829869</v>
      </c>
      <c r="L8" s="123" t="s">
        <v>200</v>
      </c>
      <c r="M8" s="123">
        <v>0.98202744397063046</v>
      </c>
      <c r="N8" s="123">
        <v>0.79777368398765314</v>
      </c>
      <c r="O8" s="123" t="s">
        <v>200</v>
      </c>
      <c r="P8" s="123">
        <v>0.65842559805007828</v>
      </c>
      <c r="Q8" s="124" t="s">
        <v>200</v>
      </c>
      <c r="R8" s="125"/>
    </row>
    <row r="9" spans="1:21" ht="30.75" thickBot="1" x14ac:dyDescent="0.3">
      <c r="A9" s="139" t="s">
        <v>92</v>
      </c>
      <c r="B9" s="353"/>
      <c r="C9" s="86" t="s">
        <v>105</v>
      </c>
      <c r="D9" s="87" t="s">
        <v>159</v>
      </c>
      <c r="E9" s="36">
        <v>1.0447231728282598</v>
      </c>
      <c r="F9" s="37">
        <v>1.2320149809574417</v>
      </c>
      <c r="G9" s="38">
        <v>1.0422767392295629</v>
      </c>
      <c r="H9" s="38" t="s">
        <v>200</v>
      </c>
      <c r="I9" s="38">
        <v>0.94738063581664722</v>
      </c>
      <c r="J9" s="38" t="s">
        <v>200</v>
      </c>
      <c r="K9" s="38">
        <v>1.0721208682480192</v>
      </c>
      <c r="L9" s="38" t="s">
        <v>200</v>
      </c>
      <c r="M9" s="38" t="s">
        <v>200</v>
      </c>
      <c r="N9" s="38">
        <v>1.196601000956113</v>
      </c>
      <c r="O9" s="38" t="s">
        <v>200</v>
      </c>
      <c r="P9" s="38">
        <v>0.91873259919152062</v>
      </c>
      <c r="Q9" s="39" t="s">
        <v>200</v>
      </c>
      <c r="R9" s="40"/>
    </row>
    <row r="10" spans="1:21" x14ac:dyDescent="0.25">
      <c r="A10" s="88" t="s">
        <v>92</v>
      </c>
      <c r="B10" s="348" t="s">
        <v>160</v>
      </c>
      <c r="C10" s="84" t="s">
        <v>31</v>
      </c>
      <c r="D10" s="85"/>
      <c r="E10" s="33">
        <v>0.99532122562224923</v>
      </c>
      <c r="F10" s="34">
        <v>1.1062873570470069</v>
      </c>
      <c r="G10" s="31" t="s">
        <v>200</v>
      </c>
      <c r="H10" s="31" t="s">
        <v>200</v>
      </c>
      <c r="I10" s="31" t="s">
        <v>200</v>
      </c>
      <c r="J10" s="31" t="s">
        <v>200</v>
      </c>
      <c r="K10" s="31" t="s">
        <v>200</v>
      </c>
      <c r="L10" s="31" t="s">
        <v>200</v>
      </c>
      <c r="M10" s="31" t="s">
        <v>200</v>
      </c>
      <c r="N10" s="31" t="s">
        <v>200</v>
      </c>
      <c r="O10" s="31" t="s">
        <v>200</v>
      </c>
      <c r="P10" s="31" t="s">
        <v>200</v>
      </c>
      <c r="Q10" s="35" t="s">
        <v>200</v>
      </c>
      <c r="R10" s="32"/>
    </row>
    <row r="11" spans="1:21" x14ac:dyDescent="0.25">
      <c r="A11" s="89" t="s">
        <v>92</v>
      </c>
      <c r="B11" s="349"/>
      <c r="C11" s="90" t="s">
        <v>32</v>
      </c>
      <c r="D11" s="91"/>
      <c r="E11" s="41" t="s">
        <v>200</v>
      </c>
      <c r="F11" s="42" t="s">
        <v>200</v>
      </c>
      <c r="G11" s="43" t="s">
        <v>200</v>
      </c>
      <c r="H11" s="43" t="s">
        <v>200</v>
      </c>
      <c r="I11" s="44" t="s">
        <v>200</v>
      </c>
      <c r="J11" s="44" t="s">
        <v>200</v>
      </c>
      <c r="K11" s="44" t="s">
        <v>200</v>
      </c>
      <c r="L11" s="44" t="s">
        <v>200</v>
      </c>
      <c r="M11" s="44" t="s">
        <v>200</v>
      </c>
      <c r="N11" s="44" t="s">
        <v>200</v>
      </c>
      <c r="O11" s="44" t="s">
        <v>200</v>
      </c>
      <c r="P11" s="44" t="s">
        <v>200</v>
      </c>
      <c r="Q11" s="45" t="s">
        <v>200</v>
      </c>
      <c r="R11" s="46"/>
    </row>
    <row r="12" spans="1:21" x14ac:dyDescent="0.25">
      <c r="A12" s="89" t="s">
        <v>92</v>
      </c>
      <c r="B12" s="349"/>
      <c r="C12" s="92" t="s">
        <v>21</v>
      </c>
      <c r="D12" s="93"/>
      <c r="E12" s="41">
        <v>1.6328235973842715</v>
      </c>
      <c r="F12" s="42">
        <v>1.9420704281822991</v>
      </c>
      <c r="G12" s="43">
        <v>1.057921029336</v>
      </c>
      <c r="H12" s="43" t="s">
        <v>200</v>
      </c>
      <c r="I12" s="44">
        <v>0.95449019126173884</v>
      </c>
      <c r="J12" s="44" t="s">
        <v>200</v>
      </c>
      <c r="K12" s="44" t="s">
        <v>200</v>
      </c>
      <c r="L12" s="44" t="s">
        <v>200</v>
      </c>
      <c r="M12" s="44" t="s">
        <v>200</v>
      </c>
      <c r="N12" s="44" t="s">
        <v>200</v>
      </c>
      <c r="O12" s="44" t="s">
        <v>200</v>
      </c>
      <c r="P12" s="44" t="s">
        <v>200</v>
      </c>
      <c r="Q12" s="45" t="s">
        <v>200</v>
      </c>
      <c r="R12" s="46"/>
    </row>
    <row r="13" spans="1:21" x14ac:dyDescent="0.25">
      <c r="A13" s="89" t="s">
        <v>92</v>
      </c>
      <c r="B13" s="349"/>
      <c r="C13" s="92" t="s">
        <v>34</v>
      </c>
      <c r="D13" s="93"/>
      <c r="E13" s="41">
        <v>0.76642028263274531</v>
      </c>
      <c r="F13" s="42">
        <v>1.1071548023883391</v>
      </c>
      <c r="G13" s="43">
        <v>1.0022912536582236</v>
      </c>
      <c r="H13" s="43" t="s">
        <v>200</v>
      </c>
      <c r="I13" s="44">
        <v>1.0063848234670765</v>
      </c>
      <c r="J13" s="44" t="s">
        <v>200</v>
      </c>
      <c r="K13" s="44">
        <v>0.85219055525514631</v>
      </c>
      <c r="L13" s="44" t="s">
        <v>200</v>
      </c>
      <c r="M13" s="44">
        <v>0.97568645415121058</v>
      </c>
      <c r="N13" s="44">
        <v>1.0306990426177169</v>
      </c>
      <c r="O13" s="44" t="s">
        <v>200</v>
      </c>
      <c r="P13" s="44">
        <v>0.72123617162512044</v>
      </c>
      <c r="Q13" s="45" t="s">
        <v>200</v>
      </c>
      <c r="R13" s="46"/>
    </row>
    <row r="14" spans="1:21" x14ac:dyDescent="0.25">
      <c r="A14" s="89" t="s">
        <v>92</v>
      </c>
      <c r="B14" s="349"/>
      <c r="C14" s="92" t="s">
        <v>26</v>
      </c>
      <c r="D14" s="93"/>
      <c r="E14" s="41" t="s">
        <v>200</v>
      </c>
      <c r="F14" s="42">
        <v>0.59099808208337412</v>
      </c>
      <c r="G14" s="43" t="s">
        <v>200</v>
      </c>
      <c r="H14" s="43" t="s">
        <v>200</v>
      </c>
      <c r="I14" s="44" t="s">
        <v>200</v>
      </c>
      <c r="J14" s="44" t="s">
        <v>200</v>
      </c>
      <c r="K14" s="44" t="s">
        <v>200</v>
      </c>
      <c r="L14" s="44" t="s">
        <v>200</v>
      </c>
      <c r="M14" s="44" t="s">
        <v>200</v>
      </c>
      <c r="N14" s="44" t="s">
        <v>200</v>
      </c>
      <c r="O14" s="44" t="s">
        <v>200</v>
      </c>
      <c r="P14" s="44" t="s">
        <v>200</v>
      </c>
      <c r="Q14" s="45" t="s">
        <v>200</v>
      </c>
      <c r="R14" s="46"/>
    </row>
    <row r="15" spans="1:21" ht="15.75" thickBot="1" x14ac:dyDescent="0.3">
      <c r="A15" s="94" t="s">
        <v>92</v>
      </c>
      <c r="B15" s="350"/>
      <c r="C15" s="95" t="s">
        <v>6</v>
      </c>
      <c r="D15" s="96"/>
      <c r="E15" s="47">
        <v>0.59619487243245139</v>
      </c>
      <c r="F15" s="48">
        <v>0.74169284652360856</v>
      </c>
      <c r="G15" s="49" t="s">
        <v>200</v>
      </c>
      <c r="H15" s="49" t="s">
        <v>200</v>
      </c>
      <c r="I15" s="50" t="s">
        <v>200</v>
      </c>
      <c r="J15" s="50" t="s">
        <v>200</v>
      </c>
      <c r="K15" s="50">
        <v>0.90433605605070211</v>
      </c>
      <c r="L15" s="50" t="s">
        <v>200</v>
      </c>
      <c r="M15" s="50" t="s">
        <v>200</v>
      </c>
      <c r="N15" s="50">
        <v>0.78693313609781557</v>
      </c>
      <c r="O15" s="50" t="s">
        <v>200</v>
      </c>
      <c r="P15" s="50" t="s">
        <v>200</v>
      </c>
      <c r="Q15" s="51" t="s">
        <v>200</v>
      </c>
      <c r="R15" s="52"/>
    </row>
    <row r="16" spans="1:21" s="58" customFormat="1" x14ac:dyDescent="0.25">
      <c r="A16" s="97" t="s">
        <v>92</v>
      </c>
      <c r="B16" s="348" t="s">
        <v>45</v>
      </c>
      <c r="C16" s="98" t="s">
        <v>7</v>
      </c>
      <c r="D16" s="99"/>
      <c r="E16" s="53">
        <v>0.73370969247740425</v>
      </c>
      <c r="F16" s="54" t="s">
        <v>200</v>
      </c>
      <c r="G16" s="55" t="s">
        <v>200</v>
      </c>
      <c r="H16" s="55" t="s">
        <v>200</v>
      </c>
      <c r="I16" s="55" t="s">
        <v>200</v>
      </c>
      <c r="J16" s="55" t="s">
        <v>200</v>
      </c>
      <c r="K16" s="55" t="s">
        <v>200</v>
      </c>
      <c r="L16" s="55" t="s">
        <v>200</v>
      </c>
      <c r="M16" s="55" t="s">
        <v>200</v>
      </c>
      <c r="N16" s="55" t="s">
        <v>200</v>
      </c>
      <c r="O16" s="55" t="s">
        <v>200</v>
      </c>
      <c r="P16" s="55" t="s">
        <v>200</v>
      </c>
      <c r="Q16" s="56" t="s">
        <v>200</v>
      </c>
      <c r="R16" s="57"/>
      <c r="S16" s="108"/>
      <c r="T16" s="108"/>
      <c r="U16" s="108"/>
    </row>
    <row r="17" spans="1:21" s="58" customFormat="1" x14ac:dyDescent="0.25">
      <c r="A17" s="89" t="s">
        <v>92</v>
      </c>
      <c r="B17" s="349"/>
      <c r="C17" s="92" t="s">
        <v>4</v>
      </c>
      <c r="D17" s="93"/>
      <c r="E17" s="59">
        <v>0.92042392110471904</v>
      </c>
      <c r="F17" s="42">
        <v>0.90248024339523658</v>
      </c>
      <c r="G17" s="43">
        <v>0.99946744123935116</v>
      </c>
      <c r="H17" s="43" t="s">
        <v>200</v>
      </c>
      <c r="I17" s="43">
        <v>0.83911025242035586</v>
      </c>
      <c r="J17" s="43" t="s">
        <v>200</v>
      </c>
      <c r="K17" s="43">
        <v>0.78564725931035684</v>
      </c>
      <c r="L17" s="43" t="s">
        <v>200</v>
      </c>
      <c r="M17" s="43" t="s">
        <v>200</v>
      </c>
      <c r="N17" s="43">
        <v>0.64415033663131771</v>
      </c>
      <c r="O17" s="43" t="s">
        <v>200</v>
      </c>
      <c r="P17" s="43" t="s">
        <v>200</v>
      </c>
      <c r="Q17" s="60" t="s">
        <v>200</v>
      </c>
      <c r="R17" s="61"/>
      <c r="S17" s="108"/>
      <c r="T17" s="108"/>
      <c r="U17" s="108"/>
    </row>
    <row r="18" spans="1:21" s="58" customFormat="1" x14ac:dyDescent="0.25">
      <c r="A18" s="89" t="s">
        <v>92</v>
      </c>
      <c r="B18" s="349"/>
      <c r="C18" s="92" t="s">
        <v>14</v>
      </c>
      <c r="D18" s="93"/>
      <c r="E18" s="59">
        <v>1.0208226714567756</v>
      </c>
      <c r="F18" s="42">
        <v>1.4868295619704004</v>
      </c>
      <c r="G18" s="43">
        <v>1.0208104693481082</v>
      </c>
      <c r="H18" s="43" t="s">
        <v>200</v>
      </c>
      <c r="I18" s="43">
        <v>0.97329214056896418</v>
      </c>
      <c r="J18" s="43" t="s">
        <v>200</v>
      </c>
      <c r="K18" s="43">
        <v>1.0051032511129518</v>
      </c>
      <c r="L18" s="43" t="s">
        <v>200</v>
      </c>
      <c r="M18" s="43">
        <v>0.94072834041211462</v>
      </c>
      <c r="N18" s="43">
        <v>1.198912171386965</v>
      </c>
      <c r="O18" s="43" t="s">
        <v>200</v>
      </c>
      <c r="P18" s="43">
        <v>0.98744227149318975</v>
      </c>
      <c r="Q18" s="60" t="s">
        <v>200</v>
      </c>
      <c r="R18" s="61"/>
      <c r="S18" s="108"/>
      <c r="T18" s="108"/>
      <c r="U18" s="108"/>
    </row>
    <row r="19" spans="1:21" s="58" customFormat="1" ht="15.75" thickBot="1" x14ac:dyDescent="0.3">
      <c r="A19" s="94" t="s">
        <v>92</v>
      </c>
      <c r="B19" s="350"/>
      <c r="C19" s="95" t="s">
        <v>8</v>
      </c>
      <c r="D19" s="96"/>
      <c r="E19" s="62" t="s">
        <v>200</v>
      </c>
      <c r="F19" s="48">
        <v>2.0607069362970991</v>
      </c>
      <c r="G19" s="49" t="s">
        <v>200</v>
      </c>
      <c r="H19" s="49" t="s">
        <v>200</v>
      </c>
      <c r="I19" s="49">
        <v>1.7465382353920533</v>
      </c>
      <c r="J19" s="49" t="s">
        <v>200</v>
      </c>
      <c r="K19" s="49">
        <v>1.9949575351289413</v>
      </c>
      <c r="L19" s="49" t="s">
        <v>200</v>
      </c>
      <c r="M19" s="49">
        <v>1.6083224093182893</v>
      </c>
      <c r="N19" s="49">
        <v>1.6218363990027362</v>
      </c>
      <c r="O19" s="49" t="s">
        <v>200</v>
      </c>
      <c r="P19" s="49">
        <v>1.366348135355149</v>
      </c>
      <c r="Q19" s="63" t="s">
        <v>200</v>
      </c>
      <c r="R19" s="64"/>
      <c r="S19" s="108"/>
      <c r="T19" s="108"/>
      <c r="U19" s="108"/>
    </row>
    <row r="20" spans="1:21" s="58" customFormat="1" x14ac:dyDescent="0.25">
      <c r="A20" s="97" t="s">
        <v>92</v>
      </c>
      <c r="B20" s="348" t="s">
        <v>10</v>
      </c>
      <c r="C20" s="98" t="s">
        <v>94</v>
      </c>
      <c r="D20" s="99"/>
      <c r="E20" s="53">
        <v>0.7268353699123774</v>
      </c>
      <c r="F20" s="54">
        <v>0.66712172199534037</v>
      </c>
      <c r="G20" s="55">
        <v>0.91131077687557216</v>
      </c>
      <c r="H20" s="55" t="s">
        <v>200</v>
      </c>
      <c r="I20" s="55">
        <v>0.93350607834158661</v>
      </c>
      <c r="J20" s="55" t="s">
        <v>200</v>
      </c>
      <c r="K20" s="55">
        <v>0.79909416410112843</v>
      </c>
      <c r="L20" s="55" t="s">
        <v>200</v>
      </c>
      <c r="M20" s="55">
        <v>0.97568645415121058</v>
      </c>
      <c r="N20" s="55">
        <v>0.99289481213062836</v>
      </c>
      <c r="O20" s="55" t="s">
        <v>200</v>
      </c>
      <c r="P20" s="55">
        <v>0.70277001398764205</v>
      </c>
      <c r="Q20" s="56" t="s">
        <v>200</v>
      </c>
      <c r="R20" s="57"/>
      <c r="S20" s="108"/>
      <c r="T20" s="108"/>
      <c r="U20" s="108"/>
    </row>
    <row r="21" spans="1:21" s="58" customFormat="1" x14ac:dyDescent="0.25">
      <c r="A21" s="89" t="s">
        <v>92</v>
      </c>
      <c r="B21" s="349"/>
      <c r="C21" s="92" t="s">
        <v>97</v>
      </c>
      <c r="D21" s="93"/>
      <c r="E21" s="59">
        <v>1.12510115439117</v>
      </c>
      <c r="F21" s="42">
        <v>1.2712919162382408</v>
      </c>
      <c r="G21" s="43" t="s">
        <v>200</v>
      </c>
      <c r="H21" s="43" t="s">
        <v>200</v>
      </c>
      <c r="I21" s="43">
        <v>1.1779557691802405</v>
      </c>
      <c r="J21" s="43" t="s">
        <v>200</v>
      </c>
      <c r="K21" s="43">
        <v>1.2932210071402557</v>
      </c>
      <c r="L21" s="43" t="s">
        <v>200</v>
      </c>
      <c r="M21" s="43">
        <v>1.3737576691941595</v>
      </c>
      <c r="N21" s="43">
        <v>1.2343740768843043</v>
      </c>
      <c r="O21" s="43" t="s">
        <v>200</v>
      </c>
      <c r="P21" s="43">
        <v>1.2674016997261746</v>
      </c>
      <c r="Q21" s="60" t="s">
        <v>200</v>
      </c>
      <c r="R21" s="61"/>
      <c r="S21" s="108"/>
      <c r="T21" s="108"/>
      <c r="U21" s="108"/>
    </row>
    <row r="22" spans="1:21" s="58" customFormat="1" ht="15.75" thickBot="1" x14ac:dyDescent="0.3">
      <c r="A22" s="94" t="s">
        <v>92</v>
      </c>
      <c r="B22" s="350"/>
      <c r="C22" s="95" t="s">
        <v>95</v>
      </c>
      <c r="D22" s="96"/>
      <c r="E22" s="62">
        <v>1.1656108436030124</v>
      </c>
      <c r="F22" s="48">
        <v>1.1959570185846882</v>
      </c>
      <c r="G22" s="49">
        <v>1.0699065622911383</v>
      </c>
      <c r="H22" s="49" t="s">
        <v>200</v>
      </c>
      <c r="I22" s="49">
        <v>1.1117163234238949</v>
      </c>
      <c r="J22" s="49" t="s">
        <v>200</v>
      </c>
      <c r="K22" s="49">
        <v>1.3627562368819339</v>
      </c>
      <c r="L22" s="49" t="s">
        <v>200</v>
      </c>
      <c r="M22" s="49" t="s">
        <v>200</v>
      </c>
      <c r="N22" s="49">
        <v>1.1002853628949953</v>
      </c>
      <c r="O22" s="49" t="s">
        <v>200</v>
      </c>
      <c r="P22" s="49">
        <v>0.58597306440409658</v>
      </c>
      <c r="Q22" s="63" t="s">
        <v>200</v>
      </c>
      <c r="R22" s="64"/>
      <c r="S22" s="108"/>
      <c r="T22" s="108"/>
      <c r="U22" s="108"/>
    </row>
    <row r="23" spans="1:21" x14ac:dyDescent="0.25">
      <c r="A23" s="88" t="s">
        <v>92</v>
      </c>
      <c r="B23" s="348" t="s">
        <v>163</v>
      </c>
      <c r="C23" s="100" t="s">
        <v>165</v>
      </c>
      <c r="D23" s="101"/>
      <c r="E23" s="65">
        <v>1.1424240629304028</v>
      </c>
      <c r="F23" s="66">
        <v>1.1542917525964824</v>
      </c>
      <c r="G23" s="67">
        <v>0.99668588173235306</v>
      </c>
      <c r="H23" s="67">
        <v>1.0698862297603313</v>
      </c>
      <c r="I23" s="68">
        <v>0.99354655692061156</v>
      </c>
      <c r="J23" s="68" t="s">
        <v>200</v>
      </c>
      <c r="K23" s="68">
        <v>1.1685716894803442</v>
      </c>
      <c r="L23" s="68" t="s">
        <v>200</v>
      </c>
      <c r="M23" s="68">
        <v>1.0419580498411818</v>
      </c>
      <c r="N23" s="68">
        <v>1.0372255879371224</v>
      </c>
      <c r="O23" s="68" t="s">
        <v>200</v>
      </c>
      <c r="P23" s="68">
        <v>0.99921984829359967</v>
      </c>
      <c r="Q23" s="69" t="s">
        <v>200</v>
      </c>
      <c r="R23" s="70">
        <v>0.90321939809056284</v>
      </c>
    </row>
    <row r="24" spans="1:21" x14ac:dyDescent="0.25">
      <c r="A24" s="89" t="s">
        <v>92</v>
      </c>
      <c r="B24" s="349"/>
      <c r="C24" s="92" t="s">
        <v>166</v>
      </c>
      <c r="D24" s="93"/>
      <c r="E24" s="59" t="s">
        <v>200</v>
      </c>
      <c r="F24" s="71" t="s">
        <v>200</v>
      </c>
      <c r="G24" s="44" t="s">
        <v>200</v>
      </c>
      <c r="H24" s="44" t="s">
        <v>200</v>
      </c>
      <c r="I24" s="44" t="s">
        <v>200</v>
      </c>
      <c r="J24" s="44" t="s">
        <v>200</v>
      </c>
      <c r="K24" s="44" t="s">
        <v>200</v>
      </c>
      <c r="L24" s="44" t="s">
        <v>200</v>
      </c>
      <c r="M24" s="44" t="s">
        <v>200</v>
      </c>
      <c r="N24" s="44" t="s">
        <v>200</v>
      </c>
      <c r="O24" s="44" t="s">
        <v>200</v>
      </c>
      <c r="P24" s="44" t="s">
        <v>200</v>
      </c>
      <c r="Q24" s="45" t="s">
        <v>200</v>
      </c>
      <c r="R24" s="46" t="s">
        <v>200</v>
      </c>
    </row>
    <row r="25" spans="1:21" x14ac:dyDescent="0.25">
      <c r="A25" s="89" t="s">
        <v>92</v>
      </c>
      <c r="B25" s="349"/>
      <c r="C25" s="92" t="s">
        <v>108</v>
      </c>
      <c r="D25" s="93"/>
      <c r="E25" s="41">
        <v>0.38099280537705094</v>
      </c>
      <c r="F25" s="71">
        <v>0.43677374535677893</v>
      </c>
      <c r="G25" s="44" t="s">
        <v>200</v>
      </c>
      <c r="H25" s="44" t="s">
        <v>200</v>
      </c>
      <c r="I25" s="44" t="s">
        <v>200</v>
      </c>
      <c r="J25" s="44" t="s">
        <v>200</v>
      </c>
      <c r="K25" s="44" t="s">
        <v>200</v>
      </c>
      <c r="L25" s="44" t="s">
        <v>200</v>
      </c>
      <c r="M25" s="44" t="s">
        <v>200</v>
      </c>
      <c r="N25" s="44" t="s">
        <v>200</v>
      </c>
      <c r="O25" s="44" t="s">
        <v>200</v>
      </c>
      <c r="P25" s="44" t="s">
        <v>200</v>
      </c>
      <c r="Q25" s="45" t="s">
        <v>200</v>
      </c>
      <c r="R25" s="46">
        <v>1.82982996643554</v>
      </c>
    </row>
    <row r="26" spans="1:21" ht="15.75" thickBot="1" x14ac:dyDescent="0.3">
      <c r="A26" s="89" t="s">
        <v>92</v>
      </c>
      <c r="B26" s="350"/>
      <c r="C26" s="92" t="s">
        <v>109</v>
      </c>
      <c r="D26" s="93"/>
      <c r="E26" s="41" t="s">
        <v>200</v>
      </c>
      <c r="F26" s="71" t="s">
        <v>200</v>
      </c>
      <c r="G26" s="44" t="s">
        <v>200</v>
      </c>
      <c r="H26" s="44" t="s">
        <v>200</v>
      </c>
      <c r="I26" s="44" t="s">
        <v>200</v>
      </c>
      <c r="J26" s="44" t="s">
        <v>200</v>
      </c>
      <c r="K26" s="44" t="s">
        <v>200</v>
      </c>
      <c r="L26" s="44" t="s">
        <v>200</v>
      </c>
      <c r="M26" s="44" t="s">
        <v>200</v>
      </c>
      <c r="N26" s="44" t="s">
        <v>200</v>
      </c>
      <c r="O26" s="44" t="s">
        <v>200</v>
      </c>
      <c r="P26" s="44" t="s">
        <v>200</v>
      </c>
      <c r="Q26" s="45" t="s">
        <v>200</v>
      </c>
      <c r="R26" s="46" t="s">
        <v>200</v>
      </c>
    </row>
    <row r="27" spans="1:21" ht="15" customHeight="1" x14ac:dyDescent="0.25">
      <c r="A27" s="97" t="s">
        <v>92</v>
      </c>
      <c r="B27" s="348" t="s">
        <v>106</v>
      </c>
      <c r="C27" s="98" t="s">
        <v>99</v>
      </c>
      <c r="D27" s="99"/>
      <c r="E27" s="53">
        <v>1.0364850435590451</v>
      </c>
      <c r="F27" s="54">
        <v>1.0494057571624522</v>
      </c>
      <c r="G27" s="72">
        <v>1.0084585498233767</v>
      </c>
      <c r="H27" s="55" t="s">
        <v>200</v>
      </c>
      <c r="I27" s="72">
        <v>0.99354655692061156</v>
      </c>
      <c r="J27" s="72" t="s">
        <v>200</v>
      </c>
      <c r="K27" s="72">
        <v>1.1287546127765631</v>
      </c>
      <c r="L27" s="72" t="s">
        <v>200</v>
      </c>
      <c r="M27" s="72">
        <v>1.0419580498411818</v>
      </c>
      <c r="N27" s="72">
        <v>1.0288161805343679</v>
      </c>
      <c r="O27" s="72" t="s">
        <v>200</v>
      </c>
      <c r="P27" s="72">
        <v>1.0038812673393795</v>
      </c>
      <c r="Q27" s="73" t="s">
        <v>200</v>
      </c>
      <c r="R27" s="74">
        <v>0.89349315141176688</v>
      </c>
    </row>
    <row r="28" spans="1:21" x14ac:dyDescent="0.25">
      <c r="A28" s="89" t="s">
        <v>92</v>
      </c>
      <c r="B28" s="349"/>
      <c r="C28" s="92" t="s">
        <v>100</v>
      </c>
      <c r="D28" s="93"/>
      <c r="E28" s="59" t="s">
        <v>200</v>
      </c>
      <c r="F28" s="42" t="s">
        <v>200</v>
      </c>
      <c r="G28" s="44" t="s">
        <v>200</v>
      </c>
      <c r="H28" s="43" t="s">
        <v>200</v>
      </c>
      <c r="I28" s="44" t="s">
        <v>200</v>
      </c>
      <c r="J28" s="44" t="s">
        <v>200</v>
      </c>
      <c r="K28" s="44" t="s">
        <v>200</v>
      </c>
      <c r="L28" s="44" t="s">
        <v>200</v>
      </c>
      <c r="M28" s="44" t="s">
        <v>200</v>
      </c>
      <c r="N28" s="44" t="s">
        <v>200</v>
      </c>
      <c r="O28" s="44" t="s">
        <v>200</v>
      </c>
      <c r="P28" s="44" t="s">
        <v>200</v>
      </c>
      <c r="Q28" s="45" t="s">
        <v>200</v>
      </c>
      <c r="R28" s="46" t="s">
        <v>200</v>
      </c>
    </row>
    <row r="29" spans="1:21" x14ac:dyDescent="0.25">
      <c r="A29" s="89" t="s">
        <v>92</v>
      </c>
      <c r="B29" s="349"/>
      <c r="C29" s="92" t="s">
        <v>101</v>
      </c>
      <c r="D29" s="93"/>
      <c r="E29" s="59">
        <v>0.47224384398009867</v>
      </c>
      <c r="F29" s="42">
        <v>0.53206196739071843</v>
      </c>
      <c r="G29" s="44" t="s">
        <v>200</v>
      </c>
      <c r="H29" s="43" t="s">
        <v>200</v>
      </c>
      <c r="I29" s="44" t="s">
        <v>200</v>
      </c>
      <c r="J29" s="44" t="s">
        <v>200</v>
      </c>
      <c r="K29" s="44" t="s">
        <v>200</v>
      </c>
      <c r="L29" s="44" t="s">
        <v>200</v>
      </c>
      <c r="M29" s="44" t="s">
        <v>200</v>
      </c>
      <c r="N29" s="44" t="s">
        <v>200</v>
      </c>
      <c r="O29" s="44" t="s">
        <v>200</v>
      </c>
      <c r="P29" s="44" t="s">
        <v>200</v>
      </c>
      <c r="Q29" s="45" t="s">
        <v>200</v>
      </c>
      <c r="R29" s="46">
        <v>1.7308099103272403</v>
      </c>
    </row>
    <row r="30" spans="1:21" ht="15.75" thickBot="1" x14ac:dyDescent="0.3">
      <c r="A30" s="102" t="s">
        <v>92</v>
      </c>
      <c r="B30" s="350"/>
      <c r="C30" s="95" t="s">
        <v>110</v>
      </c>
      <c r="D30" s="96"/>
      <c r="E30" s="62" t="s">
        <v>200</v>
      </c>
      <c r="F30" s="48" t="s">
        <v>200</v>
      </c>
      <c r="G30" s="50" t="s">
        <v>200</v>
      </c>
      <c r="H30" s="49" t="s">
        <v>200</v>
      </c>
      <c r="I30" s="50" t="s">
        <v>200</v>
      </c>
      <c r="J30" s="50" t="s">
        <v>200</v>
      </c>
      <c r="K30" s="50" t="s">
        <v>200</v>
      </c>
      <c r="L30" s="50" t="s">
        <v>200</v>
      </c>
      <c r="M30" s="50" t="s">
        <v>200</v>
      </c>
      <c r="N30" s="50" t="s">
        <v>200</v>
      </c>
      <c r="O30" s="50" t="s">
        <v>200</v>
      </c>
      <c r="P30" s="50" t="s">
        <v>200</v>
      </c>
      <c r="Q30" s="51" t="s">
        <v>200</v>
      </c>
      <c r="R30" s="52" t="s">
        <v>200</v>
      </c>
    </row>
    <row r="31" spans="1:21" x14ac:dyDescent="0.25">
      <c r="A31" s="137" t="s">
        <v>92</v>
      </c>
      <c r="B31" s="348" t="s">
        <v>169</v>
      </c>
      <c r="C31" s="98" t="s">
        <v>149</v>
      </c>
      <c r="D31" s="103"/>
      <c r="E31" s="53">
        <v>0.62562867117268262</v>
      </c>
      <c r="F31" s="54">
        <v>0.493050771581582</v>
      </c>
      <c r="G31" s="55" t="s">
        <v>200</v>
      </c>
      <c r="H31" s="55" t="s">
        <v>200</v>
      </c>
      <c r="I31" s="72">
        <v>0.91917552110963563</v>
      </c>
      <c r="J31" s="72" t="s">
        <v>200</v>
      </c>
      <c r="K31" s="72">
        <v>0.6129883990557623</v>
      </c>
      <c r="L31" s="72" t="s">
        <v>200</v>
      </c>
      <c r="M31" s="72" t="s">
        <v>200</v>
      </c>
      <c r="N31" s="72" t="s">
        <v>200</v>
      </c>
      <c r="O31" s="72" t="s">
        <v>200</v>
      </c>
      <c r="P31" s="72" t="s">
        <v>200</v>
      </c>
      <c r="Q31" s="73" t="s">
        <v>200</v>
      </c>
      <c r="R31" s="74"/>
    </row>
    <row r="32" spans="1:21" x14ac:dyDescent="0.25">
      <c r="A32" s="138" t="s">
        <v>92</v>
      </c>
      <c r="B32" s="349"/>
      <c r="C32" s="92" t="s">
        <v>150</v>
      </c>
      <c r="D32" s="104"/>
      <c r="E32" s="59">
        <v>1.5223040416072626</v>
      </c>
      <c r="F32" s="42">
        <v>1.0571696985567181</v>
      </c>
      <c r="G32" s="43" t="s">
        <v>200</v>
      </c>
      <c r="H32" s="43" t="s">
        <v>200</v>
      </c>
      <c r="I32" s="44" t="s">
        <v>200</v>
      </c>
      <c r="J32" s="44" t="s">
        <v>200</v>
      </c>
      <c r="K32" s="44" t="s">
        <v>200</v>
      </c>
      <c r="L32" s="44" t="s">
        <v>200</v>
      </c>
      <c r="M32" s="44" t="s">
        <v>200</v>
      </c>
      <c r="N32" s="44" t="s">
        <v>200</v>
      </c>
      <c r="O32" s="44" t="s">
        <v>200</v>
      </c>
      <c r="P32" s="44" t="s">
        <v>200</v>
      </c>
      <c r="Q32" s="45" t="s">
        <v>200</v>
      </c>
      <c r="R32" s="46"/>
    </row>
    <row r="33" spans="1:21" x14ac:dyDescent="0.25">
      <c r="A33" s="138" t="s">
        <v>92</v>
      </c>
      <c r="B33" s="349"/>
      <c r="C33" s="92" t="s">
        <v>151</v>
      </c>
      <c r="D33" s="104"/>
      <c r="E33" s="59">
        <v>1.9311123605440617</v>
      </c>
      <c r="F33" s="42">
        <v>1.0685044989843602</v>
      </c>
      <c r="G33" s="43" t="s">
        <v>200</v>
      </c>
      <c r="H33" s="43" t="s">
        <v>200</v>
      </c>
      <c r="I33" s="44" t="s">
        <v>200</v>
      </c>
      <c r="J33" s="44" t="s">
        <v>200</v>
      </c>
      <c r="K33" s="44" t="s">
        <v>200</v>
      </c>
      <c r="L33" s="44" t="s">
        <v>200</v>
      </c>
      <c r="M33" s="44" t="s">
        <v>200</v>
      </c>
      <c r="N33" s="44" t="s">
        <v>200</v>
      </c>
      <c r="O33" s="44" t="s">
        <v>200</v>
      </c>
      <c r="P33" s="44" t="s">
        <v>200</v>
      </c>
      <c r="Q33" s="45" t="s">
        <v>200</v>
      </c>
      <c r="R33" s="46"/>
    </row>
    <row r="34" spans="1:21" ht="15.75" thickBot="1" x14ac:dyDescent="0.3">
      <c r="A34" s="139" t="s">
        <v>92</v>
      </c>
      <c r="B34" s="350"/>
      <c r="C34" s="106" t="s">
        <v>152</v>
      </c>
      <c r="D34" s="105"/>
      <c r="E34" s="75" t="s">
        <v>200</v>
      </c>
      <c r="F34" s="76" t="s">
        <v>200</v>
      </c>
      <c r="G34" s="77" t="s">
        <v>200</v>
      </c>
      <c r="H34" s="77" t="s">
        <v>200</v>
      </c>
      <c r="I34" s="78" t="s">
        <v>200</v>
      </c>
      <c r="J34" s="78" t="s">
        <v>200</v>
      </c>
      <c r="K34" s="78" t="s">
        <v>200</v>
      </c>
      <c r="L34" s="78" t="s">
        <v>200</v>
      </c>
      <c r="M34" s="78" t="s">
        <v>200</v>
      </c>
      <c r="N34" s="78" t="s">
        <v>200</v>
      </c>
      <c r="O34" s="78" t="s">
        <v>200</v>
      </c>
      <c r="P34" s="78" t="s">
        <v>200</v>
      </c>
      <c r="Q34" s="79" t="s">
        <v>200</v>
      </c>
      <c r="R34" s="80"/>
    </row>
    <row r="35" spans="1:21" x14ac:dyDescent="0.25">
      <c r="A35" s="137" t="s">
        <v>92</v>
      </c>
      <c r="B35" s="351" t="s">
        <v>98</v>
      </c>
      <c r="C35" s="98" t="s">
        <v>41</v>
      </c>
      <c r="D35" s="111"/>
      <c r="E35" s="53">
        <v>1.6999430311552424</v>
      </c>
      <c r="F35" s="55">
        <v>0.9317724385487528</v>
      </c>
      <c r="G35" s="55">
        <v>1.0452807692943498</v>
      </c>
      <c r="H35" s="55" t="s">
        <v>200</v>
      </c>
      <c r="I35" s="72">
        <v>1.0434183817977174</v>
      </c>
      <c r="J35" s="72" t="s">
        <v>200</v>
      </c>
      <c r="K35" s="72">
        <v>0.70170161010944476</v>
      </c>
      <c r="L35" s="72" t="s">
        <v>200</v>
      </c>
      <c r="M35" s="72" t="s">
        <v>200</v>
      </c>
      <c r="N35" s="72">
        <v>0.88005760594227855</v>
      </c>
      <c r="O35" s="72" t="s">
        <v>200</v>
      </c>
      <c r="P35" s="72">
        <v>1.0361570765480517</v>
      </c>
      <c r="Q35" s="72" t="s">
        <v>200</v>
      </c>
      <c r="R35" s="74"/>
    </row>
    <row r="36" spans="1:21" x14ac:dyDescent="0.25">
      <c r="A36" s="138" t="s">
        <v>92</v>
      </c>
      <c r="B36" s="352"/>
      <c r="C36" s="92" t="s">
        <v>73</v>
      </c>
      <c r="D36" s="112"/>
      <c r="E36" s="59" t="s">
        <v>200</v>
      </c>
      <c r="F36" s="43">
        <v>1.1724038640987582</v>
      </c>
      <c r="G36" s="43" t="s">
        <v>200</v>
      </c>
      <c r="H36" s="43" t="s">
        <v>200</v>
      </c>
      <c r="I36" s="44">
        <v>0.67967201571626523</v>
      </c>
      <c r="J36" s="44" t="s">
        <v>200</v>
      </c>
      <c r="K36" s="44" t="s">
        <v>200</v>
      </c>
      <c r="L36" s="44" t="s">
        <v>200</v>
      </c>
      <c r="M36" s="44" t="s">
        <v>200</v>
      </c>
      <c r="N36" s="44" t="s">
        <v>200</v>
      </c>
      <c r="O36" s="44" t="s">
        <v>200</v>
      </c>
      <c r="P36" s="44" t="s">
        <v>200</v>
      </c>
      <c r="Q36" s="44" t="s">
        <v>200</v>
      </c>
      <c r="R36" s="46"/>
    </row>
    <row r="37" spans="1:21" ht="15.75" thickBot="1" x14ac:dyDescent="0.3">
      <c r="A37" s="139" t="s">
        <v>92</v>
      </c>
      <c r="B37" s="353"/>
      <c r="C37" s="95" t="s">
        <v>42</v>
      </c>
      <c r="D37" s="113"/>
      <c r="E37" s="62">
        <v>0.96886208734887302</v>
      </c>
      <c r="F37" s="49" t="s">
        <v>200</v>
      </c>
      <c r="G37" s="49" t="s">
        <v>200</v>
      </c>
      <c r="H37" s="49" t="s">
        <v>200</v>
      </c>
      <c r="I37" s="50" t="s">
        <v>200</v>
      </c>
      <c r="J37" s="50" t="s">
        <v>200</v>
      </c>
      <c r="K37" s="50" t="s">
        <v>200</v>
      </c>
      <c r="L37" s="50" t="s">
        <v>200</v>
      </c>
      <c r="M37" s="50" t="s">
        <v>200</v>
      </c>
      <c r="N37" s="50" t="s">
        <v>200</v>
      </c>
      <c r="O37" s="50" t="s">
        <v>200</v>
      </c>
      <c r="P37" s="50" t="s">
        <v>200</v>
      </c>
      <c r="Q37" s="50" t="s">
        <v>200</v>
      </c>
      <c r="R37" s="52"/>
    </row>
    <row r="38" spans="1:21" s="58" customFormat="1" x14ac:dyDescent="0.25">
      <c r="A38" s="140" t="s">
        <v>92</v>
      </c>
      <c r="B38" s="348" t="s">
        <v>167</v>
      </c>
      <c r="C38" s="107" t="s">
        <v>155</v>
      </c>
      <c r="D38" s="142" t="s">
        <v>210</v>
      </c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57">
        <v>3.7268400229886813</v>
      </c>
      <c r="S38" s="108"/>
      <c r="T38" s="109"/>
      <c r="U38" s="108"/>
    </row>
    <row r="39" spans="1:21" s="58" customFormat="1" x14ac:dyDescent="0.25">
      <c r="A39" s="102" t="s">
        <v>92</v>
      </c>
      <c r="B39" s="349"/>
      <c r="C39" s="106" t="s">
        <v>142</v>
      </c>
      <c r="D39" s="143">
        <v>4.7</v>
      </c>
      <c r="E39" s="59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60"/>
      <c r="R39" s="61">
        <v>3.1294846448132727</v>
      </c>
      <c r="S39" s="108"/>
      <c r="T39" s="108"/>
      <c r="U39" s="108"/>
    </row>
    <row r="40" spans="1:21" s="58" customFormat="1" ht="15.75" thickBot="1" x14ac:dyDescent="0.3">
      <c r="A40" s="94" t="s">
        <v>92</v>
      </c>
      <c r="B40" s="350"/>
      <c r="C40" s="95" t="s">
        <v>141</v>
      </c>
      <c r="D40" s="144">
        <v>1.5</v>
      </c>
      <c r="E40" s="62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63"/>
      <c r="R40" s="64">
        <v>2.2580070888178225</v>
      </c>
      <c r="S40" s="108"/>
      <c r="T40" s="108"/>
      <c r="U40" s="108"/>
    </row>
    <row r="41" spans="1:21" s="108" customFormat="1" ht="18" customHeight="1" x14ac:dyDescent="0.25"/>
    <row r="42" spans="1:21" ht="18.75" hidden="1" customHeight="1" x14ac:dyDescent="0.25">
      <c r="E42" s="81"/>
    </row>
    <row r="43" spans="1:21" ht="19.5" hidden="1" customHeight="1" x14ac:dyDescent="0.25">
      <c r="E43" s="81"/>
    </row>
    <row r="44" spans="1:21" ht="15.75" hidden="1" customHeight="1" x14ac:dyDescent="0.25">
      <c r="E44" s="81"/>
    </row>
    <row r="45" spans="1:21" ht="12" hidden="1" customHeight="1" x14ac:dyDescent="0.25">
      <c r="E45" s="81"/>
    </row>
    <row r="46" spans="1:21" ht="15" hidden="1" customHeight="1" x14ac:dyDescent="0.25"/>
    <row r="47" spans="1:21" ht="15" hidden="1" customHeight="1" x14ac:dyDescent="0.25"/>
    <row r="48" spans="1:21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</sheetData>
  <mergeCells count="31">
    <mergeCell ref="E1:R1"/>
    <mergeCell ref="A1:D1"/>
    <mergeCell ref="A2:A3"/>
    <mergeCell ref="B2:B3"/>
    <mergeCell ref="J2:J3"/>
    <mergeCell ref="L2:L3"/>
    <mergeCell ref="E2:E3"/>
    <mergeCell ref="F2:F3"/>
    <mergeCell ref="G2:G3"/>
    <mergeCell ref="C2:C3"/>
    <mergeCell ref="D2:D3"/>
    <mergeCell ref="B4:B7"/>
    <mergeCell ref="R2:R3"/>
    <mergeCell ref="M2:M3"/>
    <mergeCell ref="N2:N3"/>
    <mergeCell ref="H2:H3"/>
    <mergeCell ref="I2:I3"/>
    <mergeCell ref="K2:K3"/>
    <mergeCell ref="O2:O3"/>
    <mergeCell ref="Q2:Q3"/>
    <mergeCell ref="P2:P3"/>
    <mergeCell ref="C4:C7"/>
    <mergeCell ref="B27:B30"/>
    <mergeCell ref="B38:B40"/>
    <mergeCell ref="B31:B34"/>
    <mergeCell ref="B10:B15"/>
    <mergeCell ref="B16:B19"/>
    <mergeCell ref="B20:B22"/>
    <mergeCell ref="B23:B26"/>
    <mergeCell ref="B35:B37"/>
    <mergeCell ref="B8:B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 C8:C40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G124"/>
  <sheetViews>
    <sheetView showGridLines="0" tabSelected="1" zoomScaleNormal="100" workbookViewId="0">
      <selection activeCell="E33" sqref="E33"/>
    </sheetView>
  </sheetViews>
  <sheetFormatPr defaultColWidth="0" defaultRowHeight="15" zeroHeight="1" x14ac:dyDescent="0.25"/>
  <cols>
    <col min="1" max="1" width="17.140625" style="14" customWidth="1"/>
    <col min="2" max="2" width="23.28515625" style="14" customWidth="1"/>
    <col min="3" max="7" width="12.140625" style="14" customWidth="1"/>
    <col min="8" max="9" width="12.140625" style="15" customWidth="1"/>
    <col min="10" max="11" width="12.140625" style="14" customWidth="1"/>
    <col min="12" max="12" width="50.7109375" style="14" customWidth="1"/>
    <col min="13" max="13" width="22.140625" style="14" customWidth="1"/>
    <col min="14" max="14" width="4.140625" style="15" customWidth="1"/>
    <col min="15" max="24" width="9.140625" style="14" hidden="1" customWidth="1"/>
    <col min="25" max="30" width="4.7109375" style="14" hidden="1" customWidth="1"/>
    <col min="31" max="16384" width="9.140625" style="14" hidden="1"/>
  </cols>
  <sheetData>
    <row r="1" spans="1:15" ht="18.75" x14ac:dyDescent="0.3">
      <c r="A1" s="354" t="s">
        <v>230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6"/>
    </row>
    <row r="2" spans="1:15" s="206" customFormat="1" ht="15.75" x14ac:dyDescent="0.25">
      <c r="A2" s="288" t="s">
        <v>241</v>
      </c>
      <c r="B2" s="208"/>
      <c r="C2" s="208"/>
      <c r="D2" s="208"/>
      <c r="E2" s="209"/>
      <c r="F2" s="219"/>
      <c r="G2" s="218" t="s">
        <v>242</v>
      </c>
      <c r="H2" s="210"/>
      <c r="I2" s="210"/>
      <c r="J2" s="208"/>
      <c r="K2" s="208"/>
      <c r="L2" s="209"/>
      <c r="M2" s="289"/>
      <c r="N2" s="207"/>
    </row>
    <row r="3" spans="1:15" x14ac:dyDescent="0.25">
      <c r="A3" s="290" t="s">
        <v>237</v>
      </c>
      <c r="B3" s="180" t="s">
        <v>238</v>
      </c>
      <c r="C3" s="377" t="s">
        <v>172</v>
      </c>
      <c r="D3" s="377"/>
      <c r="E3" s="378"/>
      <c r="F3" s="26"/>
      <c r="G3" s="211" t="s">
        <v>243</v>
      </c>
      <c r="H3" s="12" t="s">
        <v>244</v>
      </c>
      <c r="I3" s="24"/>
      <c r="J3" s="212" t="s">
        <v>48</v>
      </c>
      <c r="K3" s="12" t="s">
        <v>248</v>
      </c>
      <c r="L3" s="156"/>
      <c r="M3" s="265"/>
    </row>
    <row r="4" spans="1:15" x14ac:dyDescent="0.25">
      <c r="A4" s="291" t="s">
        <v>231</v>
      </c>
      <c r="B4" s="181"/>
      <c r="C4" s="364" t="s">
        <v>232</v>
      </c>
      <c r="D4" s="364"/>
      <c r="E4" s="365"/>
      <c r="F4" s="26"/>
      <c r="G4" s="211" t="s">
        <v>4</v>
      </c>
      <c r="H4" s="12" t="s">
        <v>245</v>
      </c>
      <c r="I4" s="24"/>
      <c r="J4" s="212" t="s">
        <v>49</v>
      </c>
      <c r="K4" s="12" t="s">
        <v>249</v>
      </c>
      <c r="L4" s="156"/>
      <c r="M4" s="265"/>
    </row>
    <row r="5" spans="1:15" x14ac:dyDescent="0.25">
      <c r="A5" s="292" t="s">
        <v>233</v>
      </c>
      <c r="B5" s="110"/>
      <c r="C5" s="384" t="s">
        <v>234</v>
      </c>
      <c r="D5" s="384"/>
      <c r="E5" s="385"/>
      <c r="F5" s="26"/>
      <c r="G5" s="211" t="s">
        <v>14</v>
      </c>
      <c r="H5" s="12" t="s">
        <v>246</v>
      </c>
      <c r="I5" s="24"/>
      <c r="J5" s="212" t="s">
        <v>182</v>
      </c>
      <c r="K5" s="12" t="s">
        <v>87</v>
      </c>
      <c r="L5" s="156"/>
      <c r="M5" s="265"/>
    </row>
    <row r="6" spans="1:15" x14ac:dyDescent="0.25">
      <c r="A6" s="293" t="s">
        <v>235</v>
      </c>
      <c r="B6" s="176"/>
      <c r="C6" s="375" t="s">
        <v>236</v>
      </c>
      <c r="D6" s="375"/>
      <c r="E6" s="376"/>
      <c r="F6" s="26"/>
      <c r="G6" s="213" t="s">
        <v>8</v>
      </c>
      <c r="H6" s="214" t="s">
        <v>247</v>
      </c>
      <c r="I6" s="215"/>
      <c r="J6" s="216" t="s">
        <v>183</v>
      </c>
      <c r="K6" s="214" t="s">
        <v>91</v>
      </c>
      <c r="L6" s="217"/>
      <c r="M6" s="265"/>
    </row>
    <row r="7" spans="1:15" ht="15.75" thickBot="1" x14ac:dyDescent="0.3">
      <c r="A7" s="294" t="s">
        <v>259</v>
      </c>
      <c r="B7" s="295"/>
      <c r="C7" s="296"/>
      <c r="D7" s="296"/>
      <c r="E7" s="297"/>
      <c r="F7" s="298"/>
      <c r="G7" s="299"/>
      <c r="H7" s="300"/>
      <c r="I7" s="301"/>
      <c r="J7" s="299"/>
      <c r="K7" s="300"/>
      <c r="L7" s="298"/>
      <c r="M7" s="302"/>
    </row>
    <row r="8" spans="1:15" ht="26.25" customHeight="1" thickBot="1" x14ac:dyDescent="0.3"/>
    <row r="9" spans="1:15" ht="18.75" x14ac:dyDescent="0.3">
      <c r="A9" s="252" t="s">
        <v>223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4"/>
    </row>
    <row r="10" spans="1:15" ht="15.75" x14ac:dyDescent="0.25">
      <c r="A10" s="255" t="s">
        <v>171</v>
      </c>
      <c r="B10" s="152"/>
      <c r="C10" s="368" t="s">
        <v>217</v>
      </c>
      <c r="D10" s="368"/>
      <c r="E10" s="368"/>
      <c r="F10" s="368"/>
      <c r="G10" s="152" t="s">
        <v>172</v>
      </c>
      <c r="H10" s="167"/>
      <c r="I10" s="167"/>
      <c r="J10" s="167"/>
      <c r="K10" s="167"/>
      <c r="L10" s="173"/>
      <c r="M10" s="256"/>
      <c r="O10" s="13" t="s">
        <v>186</v>
      </c>
    </row>
    <row r="11" spans="1:15" x14ac:dyDescent="0.25">
      <c r="A11" s="257" t="s">
        <v>1</v>
      </c>
      <c r="B11" s="168"/>
      <c r="C11" s="366" t="s">
        <v>5</v>
      </c>
      <c r="D11" s="366"/>
      <c r="E11" s="366"/>
      <c r="F11" s="366"/>
      <c r="G11" s="165" t="s">
        <v>202</v>
      </c>
      <c r="H11" s="149"/>
      <c r="I11" s="149"/>
      <c r="J11" s="149"/>
      <c r="K11" s="149"/>
      <c r="L11" s="149"/>
      <c r="M11" s="258"/>
    </row>
    <row r="12" spans="1:15" x14ac:dyDescent="0.25">
      <c r="A12" s="259" t="s">
        <v>2</v>
      </c>
      <c r="B12" s="20"/>
      <c r="C12" s="21" t="str">
        <f>_xlfn.IFNA(HLOOKUP(VLOOKUP($C$11,Dropdown!$N$2:$R$64,MATCH(A12,Dropdown!$N$2:$R$2,0),FALSE),Dropdown!$E$2:$L$14,13,FALSE) &amp; " (" &amp; VLOOKUP($C$11,Dropdown!$N$2:$R$64,MATCH(A12,Dropdown!$N$2:$R$2,0),FALSE) &amp; ")","Specify country")</f>
        <v>Sub-Saharan Africa (SSA)</v>
      </c>
      <c r="D12" s="21"/>
      <c r="E12" s="21"/>
      <c r="F12" s="21"/>
      <c r="G12" s="158" t="s">
        <v>219</v>
      </c>
      <c r="H12" s="151"/>
      <c r="I12" s="151"/>
      <c r="J12" s="151"/>
      <c r="K12" s="151"/>
      <c r="L12" s="151"/>
      <c r="M12" s="260"/>
      <c r="O12" s="14" t="str">
        <f>VLOOKUP($C$11,Dropdown!$N$2:$R$64,MATCH(A12,Dropdown!$N$2:$R$2,0),FALSE)</f>
        <v>SSA</v>
      </c>
    </row>
    <row r="13" spans="1:15" x14ac:dyDescent="0.25">
      <c r="A13" s="261" t="s">
        <v>45</v>
      </c>
      <c r="B13" s="16"/>
      <c r="C13" s="17" t="str">
        <f>_xlfn.IFNA(VLOOKUP(VLOOKUP($C$11,Dropdown!$N$2:$R$64,MATCH(A13,Dropdown!$N$2:$R$2,0),FALSE),Dropdown!$U$3:$V$6,2,FALSE) &amp; " (" &amp; VLOOKUP($C$11,Dropdown!$N$2:$R$64,MATCH(A13,Dropdown!$N$2:$R$2,0),FALSE) &amp; ")","Specify country")</f>
        <v>Lower Middle Income (LMI)</v>
      </c>
      <c r="D13" s="17"/>
      <c r="E13" s="17"/>
      <c r="F13" s="17"/>
      <c r="G13" s="165" t="s">
        <v>220</v>
      </c>
      <c r="H13" s="149"/>
      <c r="I13" s="149"/>
      <c r="J13" s="149"/>
      <c r="K13" s="149"/>
      <c r="L13" s="149"/>
      <c r="M13" s="258"/>
      <c r="O13" s="14" t="str">
        <f>VLOOKUP($C$11,Dropdown!$N$2:$R$64,MATCH(A13,Dropdown!$N$2:$R$2,0),FALSE)</f>
        <v>LMI</v>
      </c>
    </row>
    <row r="14" spans="1:15" x14ac:dyDescent="0.25">
      <c r="A14" s="262" t="s">
        <v>162</v>
      </c>
      <c r="B14" s="172"/>
      <c r="C14" s="367" t="s">
        <v>150</v>
      </c>
      <c r="D14" s="367"/>
      <c r="E14" s="367"/>
      <c r="F14" s="367"/>
      <c r="G14" s="158" t="s">
        <v>218</v>
      </c>
      <c r="H14" s="151"/>
      <c r="I14" s="151"/>
      <c r="J14" s="151"/>
      <c r="K14" s="151"/>
      <c r="L14" s="151"/>
      <c r="M14" s="260"/>
    </row>
    <row r="15" spans="1:15" x14ac:dyDescent="0.25">
      <c r="A15" s="261" t="s">
        <v>10</v>
      </c>
      <c r="B15" s="16"/>
      <c r="C15" s="17" t="str">
        <f>_xlfn.IFNA(VLOOKUP($C$11,Dropdown!$N$2:$R$64,MATCH(A15,Dropdown!$N$2:$R$2,0),FALSE),"Specify country")</f>
        <v>Moderate</v>
      </c>
      <c r="D15" s="17"/>
      <c r="E15" s="17"/>
      <c r="F15" s="17"/>
      <c r="G15" s="165" t="s">
        <v>221</v>
      </c>
      <c r="H15" s="149"/>
      <c r="I15" s="149"/>
      <c r="J15" s="149"/>
      <c r="K15" s="149"/>
      <c r="L15" s="149"/>
      <c r="M15" s="258"/>
      <c r="O15" s="14" t="str">
        <f>IF(C16="",C15,C16)</f>
        <v>Moderate</v>
      </c>
    </row>
    <row r="16" spans="1:15" x14ac:dyDescent="0.25">
      <c r="A16" s="263" t="s">
        <v>204</v>
      </c>
      <c r="B16" s="172"/>
      <c r="C16" s="369" t="s">
        <v>97</v>
      </c>
      <c r="D16" s="369"/>
      <c r="E16" s="369"/>
      <c r="F16" s="369"/>
      <c r="G16" s="158" t="s">
        <v>222</v>
      </c>
      <c r="H16" s="151"/>
      <c r="I16" s="151"/>
      <c r="J16" s="151"/>
      <c r="K16" s="151"/>
      <c r="L16" s="151"/>
      <c r="M16" s="260"/>
    </row>
    <row r="17" spans="1:24" ht="7.5" customHeight="1" x14ac:dyDescent="0.25">
      <c r="A17" s="264"/>
      <c r="B17" s="26"/>
      <c r="C17" s="26"/>
      <c r="D17" s="26"/>
      <c r="E17" s="26"/>
      <c r="F17" s="26"/>
      <c r="G17" s="26"/>
      <c r="H17" s="24"/>
      <c r="I17" s="24"/>
      <c r="J17" s="26"/>
      <c r="K17" s="26"/>
      <c r="L17" s="26"/>
      <c r="M17" s="265"/>
    </row>
    <row r="18" spans="1:24" ht="15.75" x14ac:dyDescent="0.25">
      <c r="A18" s="362" t="s">
        <v>216</v>
      </c>
      <c r="B18" s="360"/>
      <c r="C18" s="357" t="s">
        <v>174</v>
      </c>
      <c r="D18" s="357"/>
      <c r="E18" s="357"/>
      <c r="F18" s="357"/>
      <c r="G18" s="360" t="s">
        <v>172</v>
      </c>
      <c r="H18" s="360"/>
      <c r="I18" s="360"/>
      <c r="J18" s="360"/>
      <c r="K18" s="360"/>
      <c r="L18" s="360"/>
      <c r="M18" s="266"/>
    </row>
    <row r="19" spans="1:24" s="15" customFormat="1" ht="15.75" x14ac:dyDescent="0.25">
      <c r="A19" s="363"/>
      <c r="B19" s="361"/>
      <c r="C19" s="372" t="s">
        <v>175</v>
      </c>
      <c r="D19" s="372"/>
      <c r="E19" s="195" t="s">
        <v>176</v>
      </c>
      <c r="F19" s="195" t="s">
        <v>177</v>
      </c>
      <c r="G19" s="361"/>
      <c r="H19" s="361"/>
      <c r="I19" s="361"/>
      <c r="J19" s="361"/>
      <c r="K19" s="361"/>
      <c r="L19" s="361"/>
      <c r="M19" s="267"/>
    </row>
    <row r="20" spans="1:24" s="15" customFormat="1" x14ac:dyDescent="0.25">
      <c r="A20" s="257" t="s">
        <v>48</v>
      </c>
      <c r="B20" s="168"/>
      <c r="C20" s="388">
        <v>100</v>
      </c>
      <c r="D20" s="388"/>
      <c r="E20" s="194"/>
      <c r="F20" s="194"/>
      <c r="G20" s="165" t="s">
        <v>250</v>
      </c>
      <c r="H20" s="149"/>
      <c r="I20" s="149"/>
      <c r="J20" s="149"/>
      <c r="K20" s="149"/>
      <c r="L20" s="149"/>
      <c r="M20" s="258"/>
    </row>
    <row r="21" spans="1:24" s="15" customFormat="1" x14ac:dyDescent="0.25">
      <c r="A21" s="268" t="s">
        <v>49</v>
      </c>
      <c r="B21" s="154"/>
      <c r="C21" s="371"/>
      <c r="D21" s="371"/>
      <c r="E21" s="193"/>
      <c r="F21" s="193"/>
      <c r="G21" s="155" t="s">
        <v>251</v>
      </c>
      <c r="H21" s="157"/>
      <c r="I21" s="150"/>
      <c r="J21" s="150"/>
      <c r="K21" s="150"/>
      <c r="L21" s="150"/>
      <c r="M21" s="269"/>
    </row>
    <row r="22" spans="1:24" s="15" customFormat="1" x14ac:dyDescent="0.25">
      <c r="A22" s="327" t="s">
        <v>254</v>
      </c>
      <c r="B22" s="20"/>
      <c r="C22" s="370" t="str">
        <f>IF(AND(C20&lt;&gt;"",C21&lt;&gt;""),SUM(C20:D21),"")</f>
        <v/>
      </c>
      <c r="D22" s="370"/>
      <c r="E22" s="205" t="str">
        <f>IF(AND(E20&lt;&gt;"",E21&lt;&gt;""),SUM(E20:E21),"")</f>
        <v/>
      </c>
      <c r="F22" s="205" t="str">
        <f>IF(AND(F20&lt;&gt;"",F21&lt;&gt;""),SUM(F20:F21),"")</f>
        <v/>
      </c>
      <c r="G22" s="158" t="s">
        <v>252</v>
      </c>
      <c r="H22" s="151"/>
      <c r="I22" s="151"/>
      <c r="J22" s="151"/>
      <c r="K22" s="151"/>
      <c r="L22" s="151"/>
      <c r="M22" s="260"/>
    </row>
    <row r="23" spans="1:24" x14ac:dyDescent="0.25">
      <c r="A23" s="270" t="s">
        <v>164</v>
      </c>
      <c r="B23" s="148"/>
      <c r="C23" s="373"/>
      <c r="D23" s="374"/>
      <c r="E23" s="374"/>
      <c r="F23" s="374"/>
      <c r="G23" s="169" t="s">
        <v>256</v>
      </c>
      <c r="H23" s="170"/>
      <c r="I23" s="170"/>
      <c r="J23" s="170"/>
      <c r="K23" s="170"/>
      <c r="L23" s="170"/>
      <c r="M23" s="271"/>
    </row>
    <row r="24" spans="1:24" s="15" customFormat="1" ht="7.5" customHeight="1" x14ac:dyDescent="0.25">
      <c r="A24" s="27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73"/>
    </row>
    <row r="25" spans="1:24" s="15" customFormat="1" ht="15.75" x14ac:dyDescent="0.25">
      <c r="A25" s="255" t="s">
        <v>215</v>
      </c>
      <c r="B25" s="167"/>
      <c r="C25" s="368" t="s">
        <v>163</v>
      </c>
      <c r="D25" s="368"/>
      <c r="E25" s="368" t="s">
        <v>106</v>
      </c>
      <c r="F25" s="368"/>
      <c r="G25" s="152" t="s">
        <v>172</v>
      </c>
      <c r="H25" s="167"/>
      <c r="I25" s="167"/>
      <c r="J25" s="167"/>
      <c r="K25" s="167"/>
      <c r="L25" s="173"/>
      <c r="M25" s="256"/>
    </row>
    <row r="26" spans="1:24" s="15" customFormat="1" x14ac:dyDescent="0.25">
      <c r="A26" s="261" t="s">
        <v>48</v>
      </c>
      <c r="B26" s="166"/>
      <c r="C26" s="386" t="s">
        <v>107</v>
      </c>
      <c r="D26" s="386"/>
      <c r="E26" s="386" t="s">
        <v>99</v>
      </c>
      <c r="F26" s="386"/>
      <c r="G26" s="165" t="s">
        <v>211</v>
      </c>
      <c r="H26" s="149"/>
      <c r="I26" s="149"/>
      <c r="J26" s="149"/>
      <c r="K26" s="149"/>
      <c r="L26" s="149"/>
      <c r="M26" s="258"/>
      <c r="R26" s="14"/>
      <c r="S26" s="14"/>
      <c r="T26" s="14"/>
      <c r="U26" s="14"/>
      <c r="V26" s="14"/>
      <c r="W26" s="14"/>
      <c r="X26" s="14"/>
    </row>
    <row r="27" spans="1:24" s="15" customFormat="1" ht="15.75" thickBot="1" x14ac:dyDescent="0.3">
      <c r="A27" s="274" t="s">
        <v>49</v>
      </c>
      <c r="B27" s="275"/>
      <c r="C27" s="387" t="s">
        <v>108</v>
      </c>
      <c r="D27" s="387"/>
      <c r="E27" s="387" t="s">
        <v>110</v>
      </c>
      <c r="F27" s="387"/>
      <c r="G27" s="276" t="s">
        <v>212</v>
      </c>
      <c r="H27" s="277"/>
      <c r="I27" s="277"/>
      <c r="J27" s="277"/>
      <c r="K27" s="277"/>
      <c r="L27" s="277"/>
      <c r="M27" s="278"/>
      <c r="R27" s="14"/>
      <c r="S27" s="14"/>
      <c r="T27" s="14"/>
      <c r="U27" s="14"/>
      <c r="V27" s="14"/>
      <c r="W27" s="14"/>
      <c r="X27" s="14"/>
    </row>
    <row r="28" spans="1:24" s="15" customFormat="1" ht="15.75" thickBo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R28" s="14"/>
      <c r="S28" s="14"/>
      <c r="T28" s="14"/>
      <c r="U28" s="14"/>
      <c r="V28" s="14"/>
      <c r="W28" s="14"/>
      <c r="X28" s="14"/>
    </row>
    <row r="29" spans="1:24" ht="18.75" x14ac:dyDescent="0.3">
      <c r="A29" s="252" t="s">
        <v>170</v>
      </c>
      <c r="B29" s="279"/>
      <c r="C29" s="279"/>
      <c r="D29" s="279"/>
      <c r="E29" s="279"/>
      <c r="F29" s="279"/>
      <c r="G29" s="280"/>
      <c r="H29" s="280"/>
      <c r="I29" s="280"/>
      <c r="J29" s="280"/>
      <c r="K29" s="253"/>
      <c r="L29" s="253"/>
      <c r="M29" s="254"/>
    </row>
    <row r="30" spans="1:24" ht="15.75" x14ac:dyDescent="0.25">
      <c r="A30" s="255" t="s">
        <v>187</v>
      </c>
      <c r="B30" s="152"/>
      <c r="C30" s="184" t="s">
        <v>81</v>
      </c>
      <c r="D30" s="184" t="s">
        <v>82</v>
      </c>
      <c r="E30" s="184" t="s">
        <v>88</v>
      </c>
      <c r="F30" s="184" t="s">
        <v>185</v>
      </c>
      <c r="G30" s="153" t="s">
        <v>172</v>
      </c>
      <c r="H30" s="153"/>
      <c r="I30" s="153"/>
      <c r="J30" s="153"/>
      <c r="K30" s="173"/>
      <c r="L30" s="173"/>
      <c r="M30" s="256"/>
      <c r="O30" s="2" t="s">
        <v>3</v>
      </c>
      <c r="P30" s="2" t="s">
        <v>80</v>
      </c>
      <c r="Q30" s="2" t="s">
        <v>168</v>
      </c>
      <c r="R30" s="2" t="s">
        <v>205</v>
      </c>
    </row>
    <row r="31" spans="1:24" x14ac:dyDescent="0.25">
      <c r="A31" s="261" t="s">
        <v>12</v>
      </c>
      <c r="B31" s="16"/>
      <c r="C31" s="221">
        <f>IFERROR(E31/(1+O31^2/P31^2)^_xlfn.T.INV(0.95,Q31),"")</f>
        <v>54.975038672118679</v>
      </c>
      <c r="D31" s="221">
        <f>IFERROR(E31*(1+O31^2/P31^2)^_xlfn.T.INV(0.95,Q31),"")</f>
        <v>149.65085386101984</v>
      </c>
      <c r="E31" s="197">
        <f>_xlfn.IFNA(SQRT(IF(HLOOKUP($A31,'3. Database - output'!$E$2:$R$22,MATCH($O$13,'3. Database - output'!$C$2:$C$22,0),FALSE)="",1,HLOOKUP($A31,'3. Database - output'!$E$2:$R$22,MATCH($O$13,'3. Database - output'!$C$2:$C$22,0),FALSE))*
IF(HLOOKUP($A31,'3. Database - output'!$E$2:$R$22,MATCH($O$15,'3. Database - output'!$C$2:$C$22,0),FALSE)="",1,HLOOKUP($A31,'3. Database - output'!$E$2:$R$22,MATCH($O$15,'3. Database - output'!$C$2:$C$22,0),FALSE)))*HLOOKUP($A31,'3. Database - output'!$E$2:$R$4,3,FALSE),"")</f>
        <v>90.703150321943866</v>
      </c>
      <c r="F31" s="162" t="s">
        <v>181</v>
      </c>
      <c r="G31" s="149" t="str">
        <f>IFERROR(IF(AND(HLOOKUP($A31,'3. Database - output'!$E$2:$R$22,MATCH($O$13,'3. Database - output'!$C$2:$C$22,0),FALSE)="",HLOOKUP($A31,'3. Database - output'!$E$2:$R$22,MATCH($O$15,'3. Database - output'!$C$2:$C$22,0),FALSE)=""),"No value for '"&amp; $O$13 &amp; "' and '" &amp; $O$15 &amp; "' in database, Factor 1 used",
IF(HLOOKUP($A31,'3. Database - output'!$E$2:$R$22,MATCH($O$13,'3. Database - output'!$C$2:$C$22,0),FALSE)="","No value for '"&amp;$O$13&amp;"' in database, Factor 1 used","") &amp;
IF(HLOOKUP($A31,'3. Database - output'!$E$2:$R$22,MATCH($O$15,'3. Database - output'!$C$2:$C$22,0),FALSE)="","No value for '"&amp;$O$15&amp;"' in database, Factor 1 used","")),"")</f>
        <v/>
      </c>
      <c r="H31" s="149"/>
      <c r="I31" s="149"/>
      <c r="J31" s="149"/>
      <c r="K31" s="149"/>
      <c r="L31" s="149"/>
      <c r="M31" s="258"/>
      <c r="O31" s="83">
        <f>HLOOKUP($A31,'3. Database - output'!$E$2:$R$7,5,FALSE)</f>
        <v>61.645032625061319</v>
      </c>
      <c r="P31" s="83">
        <f>HLOOKUP($A31,'3. Database - output'!$E$2:$R$7,4,FALSE)</f>
        <v>103.69305660377358</v>
      </c>
      <c r="Q31" s="14">
        <f>HLOOKUP($A31,'3. Database - output'!$E$2:$R$7,6,FALSE)</f>
        <v>159</v>
      </c>
    </row>
    <row r="32" spans="1:24" x14ac:dyDescent="0.25">
      <c r="A32" s="281" t="s">
        <v>86</v>
      </c>
      <c r="B32" s="18"/>
      <c r="C32" s="229">
        <f>IFERROR(E32/(1+O32^2/P32^2)^_xlfn.T.INV(0.95,Q32),"")</f>
        <v>0.660997344720056</v>
      </c>
      <c r="D32" s="229">
        <f>IFERROR(E32*(1+O32^2/P32^2)^_xlfn.T.INV(0.95,Q32),"")</f>
        <v>0.77522973302480414</v>
      </c>
      <c r="E32" s="229">
        <f>_xlfn.IFNA(SQRT(IF(HLOOKUP($A32,'3. Database - output'!$E$2:$R$22,MATCH($O$13,'3. Database - output'!$C$2:$C$22,0),FALSE)="",1,HLOOKUP($A32,'3. Database - output'!$E$2:$R$22,MATCH($O$13,'3. Database - output'!$C$2:$C$22,0),FALSE))*
IF(HLOOKUP($A32,'3. Database - output'!$E$2:$R$22,MATCH($O$15,'3. Database - output'!$C$2:$C$22,0),FALSE)="",1,HLOOKUP($A32,'3. Database - output'!$E$2:$R$22,MATCH($O$15,'3. Database - output'!$C$2:$C$22,0),FALSE)))*HLOOKUP($A32,'3. Database - output'!$E$2:$R$4,3,FALSE),"")</f>
        <v>0.71583852584045338</v>
      </c>
      <c r="F32" s="160" t="s">
        <v>192</v>
      </c>
      <c r="G32" s="150" t="str">
        <f>IFERROR(IF(AND(HLOOKUP($A32,'3. Database - output'!$E$2:$R$22,MATCH($O$13,'3. Database - output'!$C$2:$C$22,0),FALSE)="",HLOOKUP($A32,'3. Database - output'!$E$2:$R$22,MATCH($O$15,'3. Database - output'!$C$2:$C$22,0),FALSE)=""),"No value for '"&amp; $O$13 &amp; "' and '" &amp; $O$15 &amp; "' in database, Factor 1 used",
IF(HLOOKUP($A32,'3. Database - output'!$E$2:$R$22,MATCH($O$13,'3. Database - output'!$C$2:$C$22,0),FALSE)="","No value for '"&amp;$O$13&amp;"' in database, Factor 1 used","") &amp;
IF(HLOOKUP($A32,'3. Database - output'!$E$2:$R$22,MATCH($O$15,'3. Database - output'!$C$2:$C$22,0),FALSE)="","No value for '"&amp;$O$15&amp;"' in database, Factor 1 used","")),"")</f>
        <v>No value for 'Moderate' in database, Factor 1 used</v>
      </c>
      <c r="H32" s="150"/>
      <c r="I32" s="150"/>
      <c r="J32" s="150"/>
      <c r="K32" s="150"/>
      <c r="L32" s="150"/>
      <c r="M32" s="269"/>
      <c r="O32" s="22">
        <f>HLOOKUP($A32,'3. Database - output'!$E$2:$R$7,5,FALSE)</f>
        <v>0.16156368859568346</v>
      </c>
      <c r="P32" s="22">
        <f>HLOOKUP($A32,'3. Database - output'!$E$2:$R$7,4,FALSE)</f>
        <v>0.73320660622748368</v>
      </c>
      <c r="Q32" s="14">
        <f>HLOOKUP($A32,'3. Database - output'!$E$2:$R$7,6,FALSE)</f>
        <v>43</v>
      </c>
    </row>
    <row r="33" spans="1:33" x14ac:dyDescent="0.25">
      <c r="A33" s="259" t="s">
        <v>130</v>
      </c>
      <c r="B33" s="20"/>
      <c r="C33" s="196">
        <f>IFERROR(E33/(1+O33^2/P33^2)^_xlfn.T.INV(0.95,Q33),"")</f>
        <v>46.615674857972529</v>
      </c>
      <c r="D33" s="196">
        <f>IFERROR(E33*(1+O33^2/P33^2)^_xlfn.T.INV(0.95,Q33),"")</f>
        <v>141.18242214280619</v>
      </c>
      <c r="E33" s="196">
        <f>_xlfn.IFNA(SQRT(IF(HLOOKUP($A33,'3. Database - output'!$E$2:$R$22,MATCH($O$13,'3. Database - output'!$C$2:$C$22,0),FALSE)="",1,HLOOKUP($A33,'3. Database - output'!$E$2:$R$22,MATCH($O$13,'3. Database - output'!$C$2:$C$22,0),FALSE))*
IF(HLOOKUP($A33,'3. Database - output'!$E$2:$R$22,MATCH($O$15,'3. Database - output'!$C$2:$C$22,0),FALSE)="",1,HLOOKUP($A33,'3. Database - output'!$E$2:$R$22,MATCH($O$15,'3. Database - output'!$C$2:$C$22,0),FALSE)))*HLOOKUP($A33,'3. Database - output'!$E$2:$R$4,3,FALSE),"")</f>
        <v>81.125297449501375</v>
      </c>
      <c r="F33" s="163" t="s">
        <v>181</v>
      </c>
      <c r="G33" s="151" t="str">
        <f>IFERROR(IF(AND(HLOOKUP($A33,'3. Database - output'!$E$2:$R$22,MATCH($O$13,'3. Database - output'!$C$2:$C$22,0),FALSE)="",HLOOKUP($A33,'3. Database - output'!$E$2:$R$22,MATCH($O$15,'3. Database - output'!$C$2:$C$22,0),FALSE)=""),"No value for '"&amp; $O$13 &amp; "' and '" &amp; $O$15 &amp; "' in database, Factor 1 used",
IF(HLOOKUP($A33,'3. Database - output'!$E$2:$R$22,MATCH($O$13,'3. Database - output'!$C$2:$C$22,0),FALSE)="","No value for '"&amp;$O$13&amp;"' in database, Factor 1 used","") &amp;
IF(HLOOKUP($A33,'3. Database - output'!$E$2:$R$22,MATCH($O$15,'3. Database - output'!$C$2:$C$22,0),FALSE)="","No value for '"&amp;$O$15&amp;"' in database, Factor 1 used","")),"")</f>
        <v/>
      </c>
      <c r="H33" s="151"/>
      <c r="I33" s="151"/>
      <c r="J33" s="151"/>
      <c r="K33" s="151"/>
      <c r="L33" s="151"/>
      <c r="M33" s="260"/>
      <c r="O33" s="134">
        <f>HLOOKUP($A33,'3. Database - output'!$E$2:$R$7,5,FALSE)</f>
        <v>56.406311129750527</v>
      </c>
      <c r="P33" s="134">
        <f>HLOOKUP($A33,'3. Database - output'!$E$2:$R$7,4,FALSE)</f>
        <v>89.519430696057299</v>
      </c>
      <c r="Q33" s="14">
        <f>HLOOKUP($A33,'3. Database - output'!$E$2:$R$7,6,FALSE)</f>
        <v>125</v>
      </c>
    </row>
    <row r="34" spans="1:33" x14ac:dyDescent="0.25">
      <c r="A34" s="261" t="s">
        <v>89</v>
      </c>
      <c r="B34" s="16"/>
      <c r="C34" s="230">
        <f>IFERROR(E34/(1+O34^2/P34^2)^_xlfn.T.INV(0.95,Q34),"")</f>
        <v>0.21271747183301631</v>
      </c>
      <c r="D34" s="230">
        <f>IFERROR(E34*(1+O34^2/P34^2)^_xlfn.T.INV(0.95,Q34),"")</f>
        <v>0.28096759174083935</v>
      </c>
      <c r="E34" s="230">
        <f>HLOOKUP($A34,'3. Database - output'!$E$2:$R$4,3,FALSE)</f>
        <v>0.24447232109611594</v>
      </c>
      <c r="F34" s="164" t="s">
        <v>192</v>
      </c>
      <c r="G34" s="165" t="s">
        <v>209</v>
      </c>
      <c r="H34" s="149"/>
      <c r="I34" s="149"/>
      <c r="J34" s="149"/>
      <c r="K34" s="149"/>
      <c r="L34" s="149"/>
      <c r="M34" s="258"/>
      <c r="O34" s="22">
        <f>HLOOKUP($A34,'3. Database - output'!$E$2:$R$7,5,FALSE)</f>
        <v>7.2915643123706061E-2</v>
      </c>
      <c r="P34" s="22">
        <f>HLOOKUP($A34,'3. Database - output'!$E$2:$R$7,4,FALSE)</f>
        <v>0.25432178047091997</v>
      </c>
      <c r="Q34" s="14">
        <f>HLOOKUP($A34,'3. Database - output'!$E$2:$R$7,6,FALSE)</f>
        <v>14</v>
      </c>
    </row>
    <row r="35" spans="1:33" x14ac:dyDescent="0.25">
      <c r="A35" s="281" t="s">
        <v>87</v>
      </c>
      <c r="B35" s="18"/>
      <c r="C35" s="224">
        <f>IFERROR(C33*C34,"")</f>
        <v>9.9159685035778189</v>
      </c>
      <c r="D35" s="224">
        <f>IFERROR(D33*D34,"")</f>
        <v>39.66768514560281</v>
      </c>
      <c r="E35" s="198">
        <f>IFERROR(E33*E34,"")</f>
        <v>19.832889767092414</v>
      </c>
      <c r="F35" s="159" t="s">
        <v>181</v>
      </c>
      <c r="G35" s="155" t="s">
        <v>208</v>
      </c>
      <c r="H35" s="150"/>
      <c r="I35" s="150"/>
      <c r="J35" s="150"/>
      <c r="K35" s="150"/>
      <c r="L35" s="150"/>
      <c r="M35" s="269"/>
      <c r="O35" s="83"/>
    </row>
    <row r="36" spans="1:33" x14ac:dyDescent="0.25">
      <c r="A36" s="259" t="s">
        <v>91</v>
      </c>
      <c r="B36" s="20"/>
      <c r="C36" s="196">
        <f>IFERROR(C33*(1-C34),"")</f>
        <v>36.699706354394714</v>
      </c>
      <c r="D36" s="196">
        <f>IFERROR(D33*(1-D34),"")</f>
        <v>101.51473699720337</v>
      </c>
      <c r="E36" s="199">
        <f>IFERROR(E33*(1-E34),"")</f>
        <v>61.292407682408957</v>
      </c>
      <c r="F36" s="163" t="s">
        <v>181</v>
      </c>
      <c r="G36" s="158" t="s">
        <v>208</v>
      </c>
      <c r="H36" s="151"/>
      <c r="I36" s="151"/>
      <c r="J36" s="151"/>
      <c r="K36" s="151"/>
      <c r="L36" s="151"/>
      <c r="M36" s="260"/>
      <c r="O36" s="83"/>
    </row>
    <row r="37" spans="1:33" ht="7.5" customHeight="1" x14ac:dyDescent="0.25">
      <c r="A37" s="264"/>
      <c r="B37" s="26"/>
      <c r="C37" s="26"/>
      <c r="D37" s="26"/>
      <c r="E37" s="161"/>
      <c r="F37" s="26"/>
      <c r="G37" s="26"/>
      <c r="H37" s="24"/>
      <c r="I37" s="24"/>
      <c r="J37" s="26"/>
      <c r="K37" s="26"/>
      <c r="L37" s="26"/>
      <c r="M37" s="265"/>
    </row>
    <row r="38" spans="1:33" ht="18.75" x14ac:dyDescent="0.3">
      <c r="A38" s="282" t="s">
        <v>189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283"/>
    </row>
    <row r="39" spans="1:33" ht="15.75" x14ac:dyDescent="0.25">
      <c r="A39" s="395" t="s">
        <v>187</v>
      </c>
      <c r="B39" s="396"/>
      <c r="C39" s="411" t="s">
        <v>48</v>
      </c>
      <c r="D39" s="411"/>
      <c r="E39" s="368" t="s">
        <v>49</v>
      </c>
      <c r="F39" s="368"/>
      <c r="G39" s="153" t="s">
        <v>172</v>
      </c>
      <c r="H39" s="153"/>
      <c r="I39" s="153"/>
      <c r="J39" s="153"/>
      <c r="K39" s="167"/>
      <c r="L39" s="167"/>
      <c r="M39" s="284"/>
      <c r="S39" s="2" t="s">
        <v>132</v>
      </c>
    </row>
    <row r="40" spans="1:33" x14ac:dyDescent="0.25">
      <c r="A40" s="401" t="s">
        <v>12</v>
      </c>
      <c r="B40" s="402"/>
      <c r="C40" s="394">
        <f>_xlfn.IFNA((IF(HLOOKUP($A40,'3. Database - output'!$E$2:$R$40,MATCH($C$26,'3. Database - output'!$C$2:$C$40,0),FALSE)="",1,HLOOKUP($A40,'3. Database - output'!$E$2:$R$40,MATCH($C$26,'3. Database - output'!$C$2:$C$40,0),FALSE))*
IF(HLOOKUP($A40,'3. Database - output'!$E$2:$R$40,MATCH($E$26,'3. Database - output'!$C$2:$C$40,0),FALSE)="",1,HLOOKUP($A40,'3. Database - output'!$E$2:$R$40,MATCH($E$26,'3. Database - output'!$C$2:$C$40,0),FALSE))*
IF(HLOOKUP($A40,'3. Database - output'!$E$2:$R$40,MATCH($C$14,'3. Database - output'!$C$2:$C$40,0),FALSE)="",1,HLOOKUP($A40,'3. Database - output'!$E$2:$R$40,MATCH($C$14,'3. Database - output'!$C$2:$C$40,0),FALSE)))^(1/3),"")</f>
        <v>1.217018726084012</v>
      </c>
      <c r="D40" s="394"/>
      <c r="E40" s="394">
        <f>_xlfn.IFNA((IF(HLOOKUP($A40,'3. Database - output'!$E$2:$R$40,MATCH($C$27,'3. Database - output'!$C$2:$C$40,0),FALSE)="",1,HLOOKUP($A40,'3. Database - output'!$E$2:$R$40,MATCH($C$27,'3. Database - output'!$C$2:$C$40,0),FALSE))*
IF(HLOOKUP($A40,'3. Database - output'!$E$2:$R$40,MATCH($E$27,'3. Database - output'!$C$2:$C$40,0),FALSE)="",1,HLOOKUP($A40,'3. Database - output'!$E$2:$R$40,MATCH($E$27,'3. Database - output'!$C$2:$C$40,0),FALSE))*
IF(HLOOKUP($A40,'3. Database - output'!$E$2:$R$40,MATCH($C$14,'3. Database - output'!$C$2:$C$40,0),FALSE)="",1,HLOOKUP($A40,'3. Database - output'!$E$2:$R$40,MATCH($C$14,'3. Database - output'!$C$2:$C$40,0),FALSE)))^(1/3),"")</f>
        <v>0.83394880684987749</v>
      </c>
      <c r="F40" s="394"/>
      <c r="G40" s="165" t="s">
        <v>213</v>
      </c>
      <c r="H40" s="149"/>
      <c r="I40" s="149"/>
      <c r="J40" s="149"/>
      <c r="K40" s="149"/>
      <c r="L40" s="149"/>
      <c r="M40" s="258"/>
      <c r="S40" s="14" t="str">
        <f>IF(HLOOKUP($A40,'3. Database - output'!$E$2:$R$40,MATCH($C$26,'3. Database - output'!$C$2:$C$40,0),FALSE)="",$C$26,"")</f>
        <v/>
      </c>
      <c r="T40" s="14" t="str">
        <f>IF(HLOOKUP($A40,'3. Database - output'!$E$2:$R$40,MATCH($E$26,'3. Database - output'!$C$2:$C$40,0),FALSE)="",$E$26,"")</f>
        <v/>
      </c>
      <c r="U40" s="14" t="str">
        <f>IF(HLOOKUP($A40,'3. Database - output'!$E$2:$R$40,MATCH($C$14,'3. Database - output'!$C$2:$C$40,0),FALSE)="",$C$14,"")</f>
        <v/>
      </c>
      <c r="V40" s="14" t="str">
        <f>IF(HLOOKUP($A40,'3. Database - output'!$E$2:$R$40,MATCH($C$27,'3. Database - output'!$C$2:$C$40,0),FALSE)="",$C$27,"")</f>
        <v/>
      </c>
      <c r="W40" s="14" t="str">
        <f>IF(HLOOKUP($A40,'3. Database - output'!$E$2:$R$40,MATCH($E$27,'3. Database - output'!$C$2:$C$40,0),FALSE)="",$E$27,"")</f>
        <v>Shared - pour flush</v>
      </c>
      <c r="X40" s="14" t="str">
        <f>IF(HLOOKUP($A40,'3. Database - output'!$E$2:$R$40,MATCH($C$14,'3. Database - output'!$C$2:$C$40,0),FALSE)="",$C$14,"")</f>
        <v/>
      </c>
      <c r="Y40" s="14" t="str">
        <f>IF(HLOOKUP($A40,'3. Database - output'!$E$2:$R$40,MATCH($C$26,'3. Database - output'!$C$2:$C$40,0),FALSE)="",1,"")</f>
        <v/>
      </c>
      <c r="Z40" s="14" t="str">
        <f>IF(HLOOKUP($A40,'3. Database - output'!$E$2:$R$40,MATCH($E$26,'3. Database - output'!$C$2:$C$40,0),FALSE)="",1,"")</f>
        <v/>
      </c>
      <c r="AA40" s="14" t="str">
        <f>IF(HLOOKUP($A40,'3. Database - output'!$E$2:$R$40,MATCH($C$14,'3. Database - output'!$C$2:$C$40,0),FALSE)="",1,"")</f>
        <v/>
      </c>
      <c r="AB40" s="14" t="str">
        <f>IF(HLOOKUP($A40,'3. Database - output'!$E$2:$R$40,MATCH($C$27,'3. Database - output'!$C$2:$C$40,0),FALSE)="",1,"")</f>
        <v/>
      </c>
      <c r="AC40" s="14">
        <f>IF(HLOOKUP($A40,'3. Database - output'!$E$2:$R$40,MATCH($E$27,'3. Database - output'!$C$2:$C$40,0),FALSE)="",1,"")</f>
        <v>1</v>
      </c>
      <c r="AD40" s="14" t="str">
        <f>IF(HLOOKUP($A40,'3. Database - output'!$E$2:$R$40,MATCH($C$14,'3. Database - output'!$C$2:$C$40,0),FALSE)="",1,"")</f>
        <v/>
      </c>
    </row>
    <row r="41" spans="1:33" x14ac:dyDescent="0.25">
      <c r="A41" s="399" t="s">
        <v>130</v>
      </c>
      <c r="B41" s="400"/>
      <c r="C41" s="393">
        <f>_xlfn.IFNA((IF(HLOOKUP($A41,'3. Database - output'!$E$2:$R$40,MATCH($C$26,'3. Database - output'!$C$2:$C$40,0),FALSE)="",1,HLOOKUP($A41,'3. Database - output'!$E$2:$R$40,MATCH($C$26,'3. Database - output'!$C$2:$C$40,0),FALSE))*
IF(HLOOKUP($A41,'3. Database - output'!$E$2:$R$40,MATCH($E$26,'3. Database - output'!$C$2:$C$40,0),FALSE)="",1,HLOOKUP($A41,'3. Database - output'!$E$2:$R$40,MATCH($E$26,'3. Database - output'!$C$2:$C$40,0),FALSE))*
IF(HLOOKUP($A41,'3. Database - output'!$E$2:$R$40,MATCH($C$14,'3. Database - output'!$C$2:$C$40,0),FALSE)="",1,HLOOKUP($A41,'3. Database - output'!$E$2:$R$40,MATCH($C$14,'3. Database - output'!$C$2:$C$40,0),FALSE)))^(1/3),"")</f>
        <v>1.0859285398949576</v>
      </c>
      <c r="D41" s="393"/>
      <c r="E41" s="393">
        <f>_xlfn.IFNA((IF(HLOOKUP($A41,'3. Database - output'!$E$2:$R$40,MATCH($C$27,'3. Database - output'!$C$2:$C$40,0),FALSE)="",1,HLOOKUP($A41,'3. Database - output'!$E$2:$R$40,MATCH($C$27,'3. Database - output'!$C$2:$C$40,0),FALSE))*
IF(HLOOKUP($A41,'3. Database - output'!$E$2:$R$40,MATCH($E$27,'3. Database - output'!$C$2:$C$40,0),FALSE)="",1,HLOOKUP($A41,'3. Database - output'!$E$2:$R$40,MATCH($E$27,'3. Database - output'!$C$2:$C$40,0),FALSE))*
IF(HLOOKUP($A41,'3. Database - output'!$E$2:$R$40,MATCH($C$14,'3. Database - output'!$C$2:$C$40,0),FALSE)="",1,HLOOKUP($A41,'3. Database - output'!$E$2:$R$40,MATCH($C$14,'3. Database - output'!$C$2:$C$40,0),FALSE)))^(1/3),"")</f>
        <v>0.77291857373803163</v>
      </c>
      <c r="F41" s="393"/>
      <c r="G41" s="158" t="s">
        <v>214</v>
      </c>
      <c r="H41" s="151"/>
      <c r="I41" s="151"/>
      <c r="J41" s="151"/>
      <c r="K41" s="151"/>
      <c r="L41" s="151"/>
      <c r="M41" s="260"/>
      <c r="S41" s="14" t="str">
        <f>IF(HLOOKUP($A41,'3. Database - output'!$E$2:$R$40,MATCH($C$26,'3. Database - output'!$C$2:$C$40,0),FALSE)="",$C$26,"")</f>
        <v/>
      </c>
      <c r="T41" s="14" t="str">
        <f>IF(HLOOKUP($A41,'3. Database - output'!$E$2:$R$40,MATCH($E$26,'3. Database - output'!$C$2:$C$40,0),FALSE)="",$E$26,"")</f>
        <v/>
      </c>
      <c r="U41" s="14" t="str">
        <f>IF(HLOOKUP($A41,'3. Database - output'!$E$2:$R$40,MATCH($C$14,'3. Database - output'!$C$2:$C$40,0),FALSE)="",$C$14,"")</f>
        <v/>
      </c>
      <c r="V41" s="14" t="str">
        <f>IF(HLOOKUP($A41,'3. Database - output'!$E$2:$R$40,MATCH($C$27,'3. Database - output'!$C$2:$C$40,0),FALSE)="",$C$27,"")</f>
        <v/>
      </c>
      <c r="W41" s="14" t="str">
        <f>IF(HLOOKUP($A41,'3. Database - output'!$E$2:$R$40,MATCH($E$27,'3. Database - output'!$C$2:$C$40,0),FALSE)="",$E$27,"")</f>
        <v>Shared - pour flush</v>
      </c>
      <c r="X41" s="14" t="str">
        <f>IF(HLOOKUP($A41,'3. Database - output'!$E$2:$R$40,MATCH($C$14,'3. Database - output'!$C$2:$C$40,0),FALSE)="",$C$14,"")</f>
        <v/>
      </c>
      <c r="Y41" s="14" t="str">
        <f>IF(HLOOKUP($A41,'3. Database - output'!$E$2:$R$40,MATCH($C$26,'3. Database - output'!$C$2:$C$40,0),FALSE)="",1,"")</f>
        <v/>
      </c>
      <c r="Z41" s="14" t="str">
        <f>IF(HLOOKUP($A41,'3. Database - output'!$E$2:$R$40,MATCH($E$26,'3. Database - output'!$C$2:$C$40,0),FALSE)="",1,"")</f>
        <v/>
      </c>
      <c r="AA41" s="14" t="str">
        <f>IF(HLOOKUP($A41,'3. Database - output'!$E$2:$R$40,MATCH($C$14,'3. Database - output'!$C$2:$C$40,0),FALSE)="",1,"")</f>
        <v/>
      </c>
      <c r="AB41" s="14" t="str">
        <f>IF(HLOOKUP($A41,'3. Database - output'!$E$2:$R$40,MATCH($C$27,'3. Database - output'!$C$2:$C$40,0),FALSE)="",1,"")</f>
        <v/>
      </c>
      <c r="AC41" s="14">
        <f>IF(HLOOKUP($A41,'3. Database - output'!$E$2:$R$40,MATCH($E$27,'3. Database - output'!$C$2:$C$40,0),FALSE)="",1,"")</f>
        <v>1</v>
      </c>
      <c r="AD41" s="14" t="str">
        <f>IF(HLOOKUP($A41,'3. Database - output'!$E$2:$R$40,MATCH($C$14,'3. Database - output'!$C$2:$C$40,0),FALSE)="",1,"")</f>
        <v/>
      </c>
      <c r="AG41" s="145"/>
    </row>
    <row r="42" spans="1:33" ht="15.75" thickBot="1" x14ac:dyDescent="0.3">
      <c r="A42" s="397" t="s">
        <v>0</v>
      </c>
      <c r="B42" s="398"/>
      <c r="C42" s="410">
        <v>1</v>
      </c>
      <c r="D42" s="410"/>
      <c r="E42" s="412">
        <f>'3. Database - output'!R29/'3. Database - output'!R27</f>
        <v>1.9371272265405373</v>
      </c>
      <c r="F42" s="412"/>
      <c r="G42" s="285" t="s">
        <v>224</v>
      </c>
      <c r="H42" s="286"/>
      <c r="I42" s="286"/>
      <c r="J42" s="286"/>
      <c r="K42" s="286"/>
      <c r="L42" s="286"/>
      <c r="M42" s="287"/>
    </row>
    <row r="43" spans="1:33" ht="15.75" thickBot="1" x14ac:dyDescent="0.3">
      <c r="E43" s="22"/>
    </row>
    <row r="44" spans="1:33" ht="18.75" x14ac:dyDescent="0.3">
      <c r="A44" s="252" t="s">
        <v>225</v>
      </c>
      <c r="B44" s="253"/>
      <c r="C44" s="253"/>
      <c r="D44" s="253"/>
      <c r="E44" s="303"/>
      <c r="F44" s="253"/>
      <c r="G44" s="253"/>
      <c r="H44" s="253"/>
      <c r="I44" s="253"/>
      <c r="J44" s="253"/>
      <c r="K44" s="253"/>
      <c r="L44" s="253"/>
      <c r="M44" s="254"/>
    </row>
    <row r="45" spans="1:33" ht="15.75" x14ac:dyDescent="0.25">
      <c r="A45" s="362" t="s">
        <v>187</v>
      </c>
      <c r="B45" s="360"/>
      <c r="C45" s="357" t="s">
        <v>48</v>
      </c>
      <c r="D45" s="357"/>
      <c r="E45" s="357"/>
      <c r="F45" s="357"/>
      <c r="G45" s="357" t="s">
        <v>49</v>
      </c>
      <c r="H45" s="357"/>
      <c r="I45" s="357"/>
      <c r="J45" s="357"/>
      <c r="K45" s="358" t="s">
        <v>185</v>
      </c>
      <c r="L45" s="360" t="s">
        <v>172</v>
      </c>
      <c r="M45" s="266"/>
    </row>
    <row r="46" spans="1:33" ht="15.75" x14ac:dyDescent="0.25">
      <c r="A46" s="363"/>
      <c r="B46" s="361"/>
      <c r="C46" s="195" t="s">
        <v>81</v>
      </c>
      <c r="D46" s="195" t="s">
        <v>82</v>
      </c>
      <c r="E46" s="195" t="s">
        <v>88</v>
      </c>
      <c r="F46" s="175" t="s">
        <v>193</v>
      </c>
      <c r="G46" s="195" t="s">
        <v>81</v>
      </c>
      <c r="H46" s="195" t="s">
        <v>82</v>
      </c>
      <c r="I46" s="195" t="s">
        <v>88</v>
      </c>
      <c r="J46" s="175" t="s">
        <v>193</v>
      </c>
      <c r="K46" s="359"/>
      <c r="L46" s="361"/>
      <c r="M46" s="267"/>
      <c r="N46" s="146"/>
      <c r="O46" s="2" t="s">
        <v>3</v>
      </c>
      <c r="P46" s="2" t="s">
        <v>80</v>
      </c>
      <c r="Q46" s="2" t="s">
        <v>168</v>
      </c>
      <c r="R46" s="2" t="s">
        <v>205</v>
      </c>
    </row>
    <row r="47" spans="1:33" x14ac:dyDescent="0.25">
      <c r="A47" s="304" t="s">
        <v>12</v>
      </c>
      <c r="B47" s="16"/>
      <c r="C47" s="221">
        <f>IFERROR(E47/(1+O47^2/P47^2)^_xlfn.T.INV(0.95,Q47),"")</f>
        <v>66.905651531161169</v>
      </c>
      <c r="D47" s="221">
        <f>IFERROR(E47*(1+O47^2/P47^2)^_xlfn.T.INV(0.95,Q47),"")</f>
        <v>182.127891523323</v>
      </c>
      <c r="E47" s="231">
        <f>IFERROR(E31*C40,"")</f>
        <v>110.38743245661877</v>
      </c>
      <c r="F47" s="232">
        <v>70</v>
      </c>
      <c r="G47" s="221">
        <f>IFERROR(I47/(1+O47^2/P47^2)^_xlfn.T.INV(0.95,Q47),"")</f>
        <v>45.846367907139246</v>
      </c>
      <c r="H47" s="221">
        <f>IFERROR(I47*(1+O47^2/P47^2)^_xlfn.T.INV(0.95,Q47),"")</f>
        <v>124.80115102146287</v>
      </c>
      <c r="I47" s="231">
        <f>IFERROR(E31*E40,"")</f>
        <v>75.64178398851017</v>
      </c>
      <c r="J47" s="232">
        <v>45</v>
      </c>
      <c r="K47" s="244" t="s">
        <v>181</v>
      </c>
      <c r="L47" s="233"/>
      <c r="M47" s="305"/>
      <c r="N47" s="147"/>
      <c r="O47" s="83">
        <f>HLOOKUP($A47,'3. Database - output'!$E$2:$R$7,5,FALSE)</f>
        <v>61.645032625061319</v>
      </c>
      <c r="P47" s="83">
        <f>HLOOKUP($A47,'3. Database - output'!$E$2:$R$7,4,FALSE)</f>
        <v>103.69305660377358</v>
      </c>
      <c r="Q47" s="14">
        <f>HLOOKUP($A47,'3. Database - output'!$E$2:$R$7,6,FALSE)</f>
        <v>159</v>
      </c>
    </row>
    <row r="48" spans="1:33" x14ac:dyDescent="0.25">
      <c r="A48" s="306" t="s">
        <v>86</v>
      </c>
      <c r="B48" s="18"/>
      <c r="C48" s="225">
        <f>C32</f>
        <v>0.660997344720056</v>
      </c>
      <c r="D48" s="225">
        <f>D32</f>
        <v>0.77522973302480414</v>
      </c>
      <c r="E48" s="225">
        <f>E32</f>
        <v>0.71583852584045338</v>
      </c>
      <c r="F48" s="226">
        <v>0.7</v>
      </c>
      <c r="G48" s="225">
        <f>C32</f>
        <v>0.660997344720056</v>
      </c>
      <c r="H48" s="225">
        <f>D32</f>
        <v>0.77522973302480414</v>
      </c>
      <c r="I48" s="225">
        <f>E32</f>
        <v>0.71583852584045338</v>
      </c>
      <c r="J48" s="226">
        <v>0.6</v>
      </c>
      <c r="K48" s="245" t="s">
        <v>192</v>
      </c>
      <c r="L48" s="150"/>
      <c r="M48" s="269"/>
      <c r="O48" s="22">
        <f>HLOOKUP($A48,'3. Database - output'!$E$2:$R$7,5,FALSE)</f>
        <v>0.16156368859568346</v>
      </c>
      <c r="P48" s="22">
        <f>HLOOKUP($A48,'3. Database - output'!$E$2:$R$7,4,FALSE)</f>
        <v>0.73320660622748368</v>
      </c>
      <c r="Q48" s="14">
        <f>HLOOKUP($A48,'3. Database - output'!$E$2:$R$7,6,FALSE)</f>
        <v>43</v>
      </c>
    </row>
    <row r="49" spans="1:18" x14ac:dyDescent="0.25">
      <c r="A49" s="307" t="s">
        <v>130</v>
      </c>
      <c r="B49" s="20"/>
      <c r="C49" s="234">
        <f>IFERROR(IF(E49/(1+O49^2/P49^2)^_xlfn.T.INV(0.95,Q49)&lt;C47,E49/(1+O49^2/P49^2)^_xlfn.T.INV(0.95,Q49),C47*C48),"")</f>
        <v>50.621291734736189</v>
      </c>
      <c r="D49" s="234">
        <f>IFERROR(IF(E49*(1+O49^2/P49^2)^_xlfn.T.INV(0.95,Q49)&lt;D47,E49*(1+O49^2/P49^2)^_xlfn.T.INV(0.95,Q49),D47*D48),"")</f>
        <v>153.31402153637106</v>
      </c>
      <c r="E49" s="234">
        <f>IFERROR(IF(E33*C41&lt;E47,E33*C41,E47*E48),"")</f>
        <v>88.096275807881156</v>
      </c>
      <c r="F49" s="235">
        <f>IF(F47*F48&lt;&gt;0,F47*F48,"")</f>
        <v>49</v>
      </c>
      <c r="G49" s="234">
        <f>IFERROR(IF(I49/(1+O49^2/P49^2)^_xlfn.T.INV(0.95,Q49)&lt;G47,I49/(1+O49^2/P49^2)^_xlfn.T.INV(0.95,Q49),G47*G48),"")</f>
        <v>36.030120925059947</v>
      </c>
      <c r="H49" s="234">
        <f>IFERROR(IF(I49*(1+O49^2/P49^2)^_xlfn.T.INV(0.95,Q49)&lt;H47,I49*(1+O49^2/P49^2)^_xlfn.T.INV(0.95,Q49),H47*H48),"")</f>
        <v>109.12251635949846</v>
      </c>
      <c r="I49" s="234">
        <f>IFERROR(IF(E33*E41&lt;I47,E33*E41,I47*I48),"")</f>
        <v>62.703249198742178</v>
      </c>
      <c r="J49" s="235">
        <f>IF(J47*J48&lt;&gt;0,J47*J48,"")</f>
        <v>27</v>
      </c>
      <c r="K49" s="235" t="s">
        <v>181</v>
      </c>
      <c r="L49" s="236" t="s">
        <v>257</v>
      </c>
      <c r="M49" s="308"/>
      <c r="N49" s="147"/>
      <c r="O49" s="134">
        <f>HLOOKUP($A49,'3. Database - output'!$E$2:$R$7,5,FALSE)</f>
        <v>56.406311129750527</v>
      </c>
      <c r="P49" s="134">
        <f>HLOOKUP($A49,'3. Database - output'!$E$2:$R$7,4,FALSE)</f>
        <v>89.519430696057299</v>
      </c>
      <c r="Q49" s="14">
        <f>HLOOKUP($A49,'3. Database - output'!$E$2:$R$7,6,FALSE)</f>
        <v>125</v>
      </c>
    </row>
    <row r="50" spans="1:18" x14ac:dyDescent="0.25">
      <c r="A50" s="407" t="s">
        <v>258</v>
      </c>
      <c r="B50" s="16" t="s">
        <v>207</v>
      </c>
      <c r="C50" s="201"/>
      <c r="D50" s="201"/>
      <c r="E50" s="237">
        <f>IF(C20&gt;0,(1+'3. Database - output'!$D$39/('3. Database - output'!$D$40+SQRT(C20/1000)))*C$42,"")</f>
        <v>3.5877811626608658</v>
      </c>
      <c r="F50" s="194">
        <v>3</v>
      </c>
      <c r="G50" s="201"/>
      <c r="H50" s="201"/>
      <c r="I50" s="237" t="str">
        <f>IF(C21&gt;0,(1+'3. Database - output'!$D$39/('3. Database - output'!$D$40+SQRT(C21/1000)))*E$42,"")</f>
        <v/>
      </c>
      <c r="J50" s="194">
        <v>5</v>
      </c>
      <c r="K50" s="246" t="s">
        <v>192</v>
      </c>
      <c r="L50" s="149" t="str">
        <f>"Based on Formula: PFF = 1 + " &amp; '3. Database - output'!$D$39 &amp; "/(" &amp;'3. Database - output'!$D$40 &amp; " + SQRT(pop/1000))"</f>
        <v>Based on Formula: PFF = 1 + 4.7/(1.5 + SQRT(pop/1000))</v>
      </c>
      <c r="M50" s="258"/>
      <c r="O50" s="22"/>
      <c r="P50" s="22"/>
    </row>
    <row r="51" spans="1:18" x14ac:dyDescent="0.25">
      <c r="A51" s="408"/>
      <c r="B51" s="18" t="s">
        <v>87</v>
      </c>
      <c r="C51" s="227"/>
      <c r="D51" s="227"/>
      <c r="E51" s="228" t="str">
        <f>IF(E20&gt;0,(1+'3. Database - output'!$D$39/('3. Database - output'!$D$40+SQRT(E20/1000)))*C$42,"")</f>
        <v/>
      </c>
      <c r="F51" s="193">
        <v>3.2</v>
      </c>
      <c r="G51" s="227"/>
      <c r="H51" s="227"/>
      <c r="I51" s="228" t="str">
        <f>IF(E21&gt;0,(1+'3. Database - output'!$D$39/('3. Database - output'!$D$40+SQRT(E21/1000)))*E$42,"")</f>
        <v/>
      </c>
      <c r="J51" s="193">
        <v>5.5</v>
      </c>
      <c r="K51" s="247" t="s">
        <v>192</v>
      </c>
      <c r="L51" s="150" t="str">
        <f>"Based on Formula: PFF = 1 + " &amp; '3. Database - output'!$D$39 &amp; "/(" &amp;'3. Database - output'!$D$40 &amp; " + SQRT(pop/1000))"</f>
        <v>Based on Formula: PFF = 1 + 4.7/(1.5 + SQRT(pop/1000))</v>
      </c>
      <c r="M51" s="269"/>
      <c r="O51" s="22"/>
      <c r="P51" s="22"/>
    </row>
    <row r="52" spans="1:18" x14ac:dyDescent="0.25">
      <c r="A52" s="409"/>
      <c r="B52" s="20" t="s">
        <v>91</v>
      </c>
      <c r="C52" s="192"/>
      <c r="D52" s="192"/>
      <c r="E52" s="202" t="str">
        <f>IF(F20&gt;0,(1+'3. Database - output'!$D$39/('3. Database - output'!$D$40+SQRT(F20/1000)))*C$42,"")</f>
        <v/>
      </c>
      <c r="F52" s="204">
        <v>3.2</v>
      </c>
      <c r="G52" s="192"/>
      <c r="H52" s="192"/>
      <c r="I52" s="202" t="str">
        <f>IF(F21&gt;0,(1+'3. Database - output'!$D$39/('3. Database - output'!$D$40+SQRT(F21/1000)))*E$42,"")</f>
        <v/>
      </c>
      <c r="J52" s="204">
        <v>5.5</v>
      </c>
      <c r="K52" s="248" t="s">
        <v>192</v>
      </c>
      <c r="L52" s="151" t="str">
        <f>"Based on Formula: PFF = 1 + " &amp; '3. Database - output'!$D$39 &amp; "/(" &amp;'3. Database - output'!$D$40 &amp; " + SQRT(pop/1000))"</f>
        <v>Based on Formula: PFF = 1 + 4.7/(1.5 + SQRT(pop/1000))</v>
      </c>
      <c r="M52" s="260"/>
      <c r="O52" s="22"/>
      <c r="P52" s="22"/>
    </row>
    <row r="53" spans="1:18" x14ac:dyDescent="0.25">
      <c r="A53" s="261" t="s">
        <v>89</v>
      </c>
      <c r="B53" s="16"/>
      <c r="C53" s="230">
        <f>C$34</f>
        <v>0.21271747183301631</v>
      </c>
      <c r="D53" s="230">
        <f>D$34</f>
        <v>0.28096759174083935</v>
      </c>
      <c r="E53" s="230">
        <f>E$34</f>
        <v>0.24447232109611594</v>
      </c>
      <c r="F53" s="238">
        <v>0.25</v>
      </c>
      <c r="G53" s="230">
        <f>C$34</f>
        <v>0.21271747183301631</v>
      </c>
      <c r="H53" s="230">
        <f>D$34</f>
        <v>0.28096759174083935</v>
      </c>
      <c r="I53" s="230">
        <f>E$34</f>
        <v>0.24447232109611594</v>
      </c>
      <c r="J53" s="238">
        <v>0.35</v>
      </c>
      <c r="K53" s="246" t="s">
        <v>192</v>
      </c>
      <c r="L53" s="165" t="s">
        <v>209</v>
      </c>
      <c r="M53" s="258"/>
      <c r="O53" s="83"/>
    </row>
    <row r="54" spans="1:18" x14ac:dyDescent="0.25">
      <c r="A54" s="281" t="s">
        <v>87</v>
      </c>
      <c r="B54" s="18"/>
      <c r="C54" s="198">
        <f t="shared" ref="C54:D54" si="0">IFERROR(C49*C53,"")</f>
        <v>10.768033198734647</v>
      </c>
      <c r="D54" s="198">
        <f t="shared" si="0"/>
        <v>43.076271411177352</v>
      </c>
      <c r="E54" s="198">
        <f>IFERROR(E49*E53,"")</f>
        <v>21.537101026676314</v>
      </c>
      <c r="F54" s="224">
        <f>IFERROR(F53*F49,"")</f>
        <v>12.25</v>
      </c>
      <c r="G54" s="198">
        <f>IFERROR(G49*G53,"")</f>
        <v>7.6642362330166112</v>
      </c>
      <c r="H54" s="198">
        <f>IFERROR(H49*H53,"")</f>
        <v>30.659890626228627</v>
      </c>
      <c r="I54" s="198">
        <f>IFERROR(I49*I53,"")</f>
        <v>15.329208871884672</v>
      </c>
      <c r="J54" s="224">
        <f>IFERROR(J53*J49,"")</f>
        <v>9.4499999999999993</v>
      </c>
      <c r="K54" s="227" t="s">
        <v>181</v>
      </c>
      <c r="L54" s="155" t="s">
        <v>208</v>
      </c>
      <c r="M54" s="309"/>
      <c r="N54" s="136"/>
    </row>
    <row r="55" spans="1:18" x14ac:dyDescent="0.25">
      <c r="A55" s="259" t="s">
        <v>91</v>
      </c>
      <c r="B55" s="20"/>
      <c r="C55" s="199">
        <f t="shared" ref="C55:D55" si="1">IFERROR(C49*(1-C53),"")</f>
        <v>39.853258536001547</v>
      </c>
      <c r="D55" s="199">
        <f t="shared" si="1"/>
        <v>110.2377501251937</v>
      </c>
      <c r="E55" s="199">
        <f>IFERROR(E49*(1-E53),"")</f>
        <v>66.559174781204845</v>
      </c>
      <c r="F55" s="196">
        <f>IF(AND(ISNUMBER(F49),ISNUMBER(F54)),F49-F54,"")</f>
        <v>36.75</v>
      </c>
      <c r="G55" s="199">
        <f>IFERROR(G49*(1-G53),"")</f>
        <v>28.365884692043338</v>
      </c>
      <c r="H55" s="199">
        <f>IFERROR(H49*(1-H53),"")</f>
        <v>78.462625733269832</v>
      </c>
      <c r="I55" s="199">
        <f>IFERROR(I49*(1-I53),"")</f>
        <v>47.374040326857504</v>
      </c>
      <c r="J55" s="196">
        <f>IF(AND(ISNUMBER(J49),ISNUMBER(J54)),J49-J54,"")</f>
        <v>17.55</v>
      </c>
      <c r="K55" s="192" t="s">
        <v>181</v>
      </c>
      <c r="L55" s="158" t="s">
        <v>208</v>
      </c>
      <c r="M55" s="310"/>
      <c r="N55" s="136"/>
    </row>
    <row r="56" spans="1:18" ht="7.5" customHeight="1" x14ac:dyDescent="0.25">
      <c r="A56" s="264"/>
      <c r="B56" s="26"/>
      <c r="C56" s="26"/>
      <c r="D56" s="26"/>
      <c r="E56" s="161"/>
      <c r="F56" s="26"/>
      <c r="G56" s="26"/>
      <c r="H56" s="161"/>
      <c r="I56" s="26"/>
      <c r="J56" s="26"/>
      <c r="K56" s="26"/>
      <c r="L56" s="26"/>
      <c r="M56" s="265"/>
    </row>
    <row r="57" spans="1:18" ht="15.75" customHeight="1" x14ac:dyDescent="0.25">
      <c r="A57" s="362" t="s">
        <v>188</v>
      </c>
      <c r="B57" s="360"/>
      <c r="C57" s="357" t="s">
        <v>48</v>
      </c>
      <c r="D57" s="357"/>
      <c r="E57" s="357"/>
      <c r="F57" s="357"/>
      <c r="G57" s="357" t="s">
        <v>49</v>
      </c>
      <c r="H57" s="357"/>
      <c r="I57" s="357"/>
      <c r="J57" s="357"/>
      <c r="K57" s="358" t="s">
        <v>185</v>
      </c>
      <c r="L57" s="360" t="s">
        <v>172</v>
      </c>
      <c r="M57" s="266"/>
    </row>
    <row r="58" spans="1:18" ht="15.75" x14ac:dyDescent="0.25">
      <c r="A58" s="363"/>
      <c r="B58" s="361"/>
      <c r="C58" s="195" t="s">
        <v>81</v>
      </c>
      <c r="D58" s="195" t="s">
        <v>82</v>
      </c>
      <c r="E58" s="195" t="s">
        <v>88</v>
      </c>
      <c r="F58" s="175" t="s">
        <v>193</v>
      </c>
      <c r="G58" s="195" t="s">
        <v>81</v>
      </c>
      <c r="H58" s="195" t="s">
        <v>82</v>
      </c>
      <c r="I58" s="195" t="s">
        <v>88</v>
      </c>
      <c r="J58" s="175" t="s">
        <v>193</v>
      </c>
      <c r="K58" s="359"/>
      <c r="L58" s="361"/>
      <c r="M58" s="267"/>
    </row>
    <row r="59" spans="1:18" x14ac:dyDescent="0.25">
      <c r="A59" s="403" t="s">
        <v>84</v>
      </c>
      <c r="B59" s="16" t="s">
        <v>90</v>
      </c>
      <c r="C59" s="221">
        <f>IFERROR(E59/(1+O59^2/P59^2)^_xlfn.T.INV(0.95,Q59),"")</f>
        <v>30.353875693248344</v>
      </c>
      <c r="D59" s="221">
        <f>IFERROR(E59*(1+O59^2/P59^2)^_xlfn.T.INV(0.95,Q59),"")</f>
        <v>51.403813867307335</v>
      </c>
      <c r="E59" s="197">
        <f>_xlfn.IFNA(SQRT(IF(HLOOKUP($A59,'3. Database - output'!$E$2:$R$22,MATCH($O$13,'3. Database - output'!$C$2:$C$22,0),FALSE)="",1,HLOOKUP($A59,'3. Database - output'!$E$2:$R$22,MATCH($O$13,'3. Database - output'!$C$2:$C$22,0),FALSE))*
IF(HLOOKUP($A59,'3. Database - output'!$E$2:$R$22,MATCH($O$15,'3. Database - output'!$C$2:$C$22,0),FALSE)="",1,HLOOKUP($A59,'3. Database - output'!$E$2:$R$22,MATCH($O$15,'3. Database - output'!$C$2:$C$22,0),FALSE)))*HLOOKUP($A59,'3. Database - output'!$E$2:$R$4,3,FALSE),"")</f>
        <v>39.500695896238618</v>
      </c>
      <c r="F59" s="194">
        <v>45</v>
      </c>
      <c r="G59" s="221">
        <f>C59</f>
        <v>30.353875693248344</v>
      </c>
      <c r="H59" s="197">
        <f t="shared" ref="H59:I59" si="2">D59</f>
        <v>51.403813867307335</v>
      </c>
      <c r="I59" s="221">
        <f t="shared" si="2"/>
        <v>39.500695896238618</v>
      </c>
      <c r="J59" s="194">
        <v>40</v>
      </c>
      <c r="K59" s="162" t="s">
        <v>184</v>
      </c>
      <c r="L59" s="174" t="str">
        <f>_xlfn.IFNA(IF(AND(HLOOKUP($A59,'3. Database - output'!$E$2:$R$22,MATCH($O$13,'3. Database - output'!$C$2:$C$22,0),FALSE)="",HLOOKUP($A59,'3. Database - output'!$E$2:$R$22,MATCH($O$15,'3. Database - output'!$C$2:$C$22,0),FALSE)=""),"No value for '"&amp; $O$13 &amp; "' and '" &amp; $O$15 &amp; "' in database, Factor 1 used",
IF(HLOOKUP($A59,'3. Database - output'!$E$2:$R$22,MATCH($O$13,'3. Database - output'!$C$2:$C$22,0),FALSE)="","No value for '"&amp;$O$13&amp;"' in database, Factor 1 used","") &amp;
IF(HLOOKUP($A59,'3. Database - output'!$E$2:$R$22,MATCH($O$15,'3. Database - output'!$C$2:$C$22,0),FALSE)="","No value for '"&amp;$O$15&amp;"' in database, Factor 1 used","")),"")</f>
        <v/>
      </c>
      <c r="M59" s="258"/>
      <c r="O59" s="134">
        <f>HLOOKUP($A59,'3. Database - output'!$E$2:$R$7,5,FALSE)</f>
        <v>17.840894432362028</v>
      </c>
      <c r="P59" s="134">
        <f>HLOOKUP($A59,'3. Database - output'!$E$2:$R$7,4,FALSE)</f>
        <v>43.013219626168222</v>
      </c>
      <c r="Q59" s="83">
        <f>HLOOKUP($A59,'3. Database - output'!$E$2:$R$7,6,FALSE)</f>
        <v>107</v>
      </c>
    </row>
    <row r="60" spans="1:18" x14ac:dyDescent="0.25">
      <c r="A60" s="404"/>
      <c r="B60" s="18" t="s">
        <v>182</v>
      </c>
      <c r="C60" s="198">
        <f t="shared" ref="C60:E61" si="3">IFERROR($R60*C$59,"")</f>
        <v>17.355505705366834</v>
      </c>
      <c r="D60" s="198">
        <f t="shared" si="3"/>
        <v>29.391277537916086</v>
      </c>
      <c r="E60" s="198">
        <f t="shared" si="3"/>
        <v>22.585404246931748</v>
      </c>
      <c r="F60" s="193">
        <v>25</v>
      </c>
      <c r="G60" s="224">
        <f t="shared" ref="G60:G64" si="4">C60</f>
        <v>17.355505705366834</v>
      </c>
      <c r="H60" s="198">
        <f t="shared" ref="H60:H64" si="5">D60</f>
        <v>29.391277537916086</v>
      </c>
      <c r="I60" s="224">
        <f t="shared" ref="I60:I64" si="6">E60</f>
        <v>22.585404246931748</v>
      </c>
      <c r="J60" s="193">
        <v>25</v>
      </c>
      <c r="K60" s="19" t="s">
        <v>184</v>
      </c>
      <c r="L60" s="150" t="str">
        <f>"Generalised value for BOD ratio BW used: "</f>
        <v xml:space="preserve">Generalised value for BOD ratio BW used: </v>
      </c>
      <c r="M60" s="311">
        <f>R60</f>
        <v>0.57177231272734119</v>
      </c>
      <c r="R60" s="23">
        <f xml:space="preserve"> '3. Database - output'!$J$4</f>
        <v>0.57177231272734119</v>
      </c>
    </row>
    <row r="61" spans="1:18" x14ac:dyDescent="0.25">
      <c r="A61" s="405"/>
      <c r="B61" s="20" t="s">
        <v>183</v>
      </c>
      <c r="C61" s="196">
        <f t="shared" si="3"/>
        <v>12.998369987881512</v>
      </c>
      <c r="D61" s="196">
        <f t="shared" si="3"/>
        <v>22.012536329391249</v>
      </c>
      <c r="E61" s="196">
        <f t="shared" si="3"/>
        <v>16.915291649306869</v>
      </c>
      <c r="F61" s="192">
        <f>IF(AND(ISNUMBER(F59),ISNUMBER(F60)),F59-F60,"")</f>
        <v>20</v>
      </c>
      <c r="G61" s="196">
        <f t="shared" si="4"/>
        <v>12.998369987881512</v>
      </c>
      <c r="H61" s="196">
        <f t="shared" si="5"/>
        <v>22.012536329391249</v>
      </c>
      <c r="I61" s="196">
        <f t="shared" si="6"/>
        <v>16.915291649306869</v>
      </c>
      <c r="J61" s="192">
        <f>IF(AND(ISNUMBER(J59),ISNUMBER(J60)),J59-J60,"")</f>
        <v>15</v>
      </c>
      <c r="K61" s="21" t="s">
        <v>184</v>
      </c>
      <c r="L61" s="151" t="str">
        <f>"Generalised value for BOD ratio GW used: "</f>
        <v xml:space="preserve">Generalised value for BOD ratio GW used: </v>
      </c>
      <c r="M61" s="312">
        <f>R61</f>
        <v>0.42822768727265881</v>
      </c>
      <c r="R61" s="23">
        <f>1-R60</f>
        <v>0.42822768727265881</v>
      </c>
    </row>
    <row r="62" spans="1:18" x14ac:dyDescent="0.25">
      <c r="A62" s="403" t="s">
        <v>83</v>
      </c>
      <c r="B62" s="16" t="s">
        <v>90</v>
      </c>
      <c r="C62" s="221">
        <f>IFERROR(E62/(1+O62^2/P62^2)^_xlfn.T.INV(0.95,Q62),"")</f>
        <v>56.137053531606277</v>
      </c>
      <c r="D62" s="221">
        <f>IFERROR(E62*(1+O62^2/P62^2)^_xlfn.T.INV(0.95,Q62),"")</f>
        <v>111.57131956911697</v>
      </c>
      <c r="E62" s="197">
        <f>_xlfn.IFNA(SQRT(IF(HLOOKUP($A62,'3. Database - output'!$E$2:$R$22,MATCH($O$13,'3. Database - output'!$C$2:$C$22,0),FALSE)="",1,HLOOKUP($A62,'3. Database - output'!$E$2:$R$22,MATCH($O$13,'3. Database - output'!$C$2:$C$22,0),FALSE))*
IF(HLOOKUP($A62,'3. Database - output'!$E$2:$R$22,MATCH($O$15,'3. Database - output'!$C$2:$C$22,0),FALSE)="",1,HLOOKUP($A62,'3. Database - output'!$E$2:$R$22,MATCH($O$15,'3. Database - output'!$C$2:$C$22,0),FALSE)))*HLOOKUP($A62,'3. Database - output'!$E$2:$R$4,3,FALSE),"")</f>
        <v>79.140919499608231</v>
      </c>
      <c r="F62" s="194">
        <v>90</v>
      </c>
      <c r="G62" s="221">
        <f t="shared" si="4"/>
        <v>56.137053531606277</v>
      </c>
      <c r="H62" s="197">
        <f t="shared" si="5"/>
        <v>111.57131956911697</v>
      </c>
      <c r="I62" s="221">
        <f t="shared" si="6"/>
        <v>79.140919499608231</v>
      </c>
      <c r="J62" s="194">
        <v>85</v>
      </c>
      <c r="K62" s="17" t="s">
        <v>184</v>
      </c>
      <c r="L62" s="174" t="str">
        <f>_xlfn.IFNA(IF(AND(HLOOKUP($A62,'3. Database - output'!$E$2:$R$22,MATCH($O$13,'3. Database - output'!$C$2:$C$22,0),FALSE)="",HLOOKUP($A62,'3. Database - output'!$E$2:$R$22,MATCH($O$15,'3. Database - output'!$C$2:$C$22,0),FALSE)=""),"No value for '"&amp; $O$13 &amp; "' and '" &amp; $O$15 &amp; "' in database, Factor 1 used",
IF(HLOOKUP($A62,'3. Database - output'!$E$2:$R$22,MATCH($O$13,'3. Database - output'!$C$2:$C$22,0),FALSE)="","No value for '"&amp;$O$13&amp;"' in database, Factor 1 used","") &amp;
IF(HLOOKUP($A62,'3. Database - output'!$E$2:$R$22,MATCH($O$15,'3. Database - output'!$C$2:$C$22,0),FALSE)="","No value for '"&amp;$O$15&amp;"' in database, Factor 1 used","")),"")</f>
        <v/>
      </c>
      <c r="M62" s="313"/>
      <c r="O62" s="134">
        <f>HLOOKUP($A62,'3. Database - output'!$E$2:$R$7,5,FALSE)</f>
        <v>41.530198934167018</v>
      </c>
      <c r="P62" s="134">
        <f>HLOOKUP($A62,'3. Database - output'!$E$2:$R$7,4,FALSE)</f>
        <v>87.001364881693647</v>
      </c>
      <c r="Q62" s="83">
        <f>HLOOKUP($A62,'3. Database - output'!$E$2:$R$7,6,FALSE)</f>
        <v>55</v>
      </c>
    </row>
    <row r="63" spans="1:18" x14ac:dyDescent="0.25">
      <c r="A63" s="404"/>
      <c r="B63" s="18" t="s">
        <v>182</v>
      </c>
      <c r="C63" s="198">
        <f t="shared" ref="C63:E64" si="7">IFERROR($R63*C$62,"")</f>
        <v>35.38804227521527</v>
      </c>
      <c r="D63" s="198">
        <f t="shared" si="7"/>
        <v>70.333056782014722</v>
      </c>
      <c r="E63" s="198">
        <f t="shared" si="7"/>
        <v>49.889369476342885</v>
      </c>
      <c r="F63" s="193">
        <v>50</v>
      </c>
      <c r="G63" s="224">
        <f t="shared" si="4"/>
        <v>35.38804227521527</v>
      </c>
      <c r="H63" s="198">
        <f t="shared" si="5"/>
        <v>70.333056782014722</v>
      </c>
      <c r="I63" s="224">
        <f t="shared" si="6"/>
        <v>49.889369476342885</v>
      </c>
      <c r="J63" s="193">
        <v>50</v>
      </c>
      <c r="K63" s="19" t="s">
        <v>184</v>
      </c>
      <c r="L63" s="150" t="str">
        <f>"Generalised value for COD ratio BW used: "</f>
        <v xml:space="preserve">Generalised value for COD ratio BW used: </v>
      </c>
      <c r="M63" s="311">
        <f>R63</f>
        <v>0.63038652812960871</v>
      </c>
      <c r="R63" s="23">
        <f>'3. Database - output'!$L$4</f>
        <v>0.63038652812960871</v>
      </c>
    </row>
    <row r="64" spans="1:18" x14ac:dyDescent="0.25">
      <c r="A64" s="405"/>
      <c r="B64" s="20" t="s">
        <v>183</v>
      </c>
      <c r="C64" s="196">
        <f t="shared" si="7"/>
        <v>20.749011256391007</v>
      </c>
      <c r="D64" s="196">
        <f t="shared" si="7"/>
        <v>41.238262787102251</v>
      </c>
      <c r="E64" s="196">
        <f t="shared" si="7"/>
        <v>29.251550023265349</v>
      </c>
      <c r="F64" s="192">
        <f>IF(AND(ISNUMBER(F62),ISNUMBER(F63)),F62-F63,"")</f>
        <v>40</v>
      </c>
      <c r="G64" s="196">
        <f t="shared" si="4"/>
        <v>20.749011256391007</v>
      </c>
      <c r="H64" s="199">
        <f t="shared" si="5"/>
        <v>41.238262787102251</v>
      </c>
      <c r="I64" s="196">
        <f t="shared" si="6"/>
        <v>29.251550023265349</v>
      </c>
      <c r="J64" s="192">
        <f>IF(AND(ISNUMBER(J62),ISNUMBER(J63)),J62-J63,"")</f>
        <v>35</v>
      </c>
      <c r="K64" s="21" t="s">
        <v>184</v>
      </c>
      <c r="L64" s="151" t="str">
        <f>"Generalised value for COD ratio GW used: "</f>
        <v xml:space="preserve">Generalised value for COD ratio GW used: </v>
      </c>
      <c r="M64" s="312">
        <f>R64</f>
        <v>0.36961347187039129</v>
      </c>
      <c r="R64" s="23">
        <f>1-R63</f>
        <v>0.36961347187039129</v>
      </c>
    </row>
    <row r="65" spans="1:18" ht="7.5" customHeight="1" x14ac:dyDescent="0.25">
      <c r="A65" s="264"/>
      <c r="B65" s="26"/>
      <c r="C65" s="26"/>
      <c r="D65" s="26"/>
      <c r="E65" s="26"/>
      <c r="F65" s="26"/>
      <c r="G65" s="161"/>
      <c r="H65" s="25"/>
      <c r="I65" s="24"/>
      <c r="J65" s="26"/>
      <c r="K65" s="24"/>
      <c r="L65" s="26"/>
      <c r="M65" s="265"/>
    </row>
    <row r="66" spans="1:18" ht="15.75" customHeight="1" x14ac:dyDescent="0.25">
      <c r="A66" s="362" t="s">
        <v>135</v>
      </c>
      <c r="B66" s="360"/>
      <c r="C66" s="357" t="s">
        <v>48</v>
      </c>
      <c r="D66" s="357"/>
      <c r="E66" s="357"/>
      <c r="F66" s="357"/>
      <c r="G66" s="357" t="s">
        <v>49</v>
      </c>
      <c r="H66" s="357"/>
      <c r="I66" s="357"/>
      <c r="J66" s="357"/>
      <c r="K66" s="358" t="s">
        <v>185</v>
      </c>
      <c r="L66" s="360" t="s">
        <v>172</v>
      </c>
      <c r="M66" s="266"/>
    </row>
    <row r="67" spans="1:18" ht="15.75" x14ac:dyDescent="0.25">
      <c r="A67" s="363"/>
      <c r="B67" s="361"/>
      <c r="C67" s="195" t="s">
        <v>81</v>
      </c>
      <c r="D67" s="195" t="s">
        <v>82</v>
      </c>
      <c r="E67" s="195" t="s">
        <v>88</v>
      </c>
      <c r="F67" s="175" t="s">
        <v>193</v>
      </c>
      <c r="G67" s="195" t="s">
        <v>81</v>
      </c>
      <c r="H67" s="195" t="s">
        <v>82</v>
      </c>
      <c r="I67" s="195" t="s">
        <v>88</v>
      </c>
      <c r="J67" s="175" t="s">
        <v>193</v>
      </c>
      <c r="K67" s="359"/>
      <c r="L67" s="361"/>
      <c r="M67" s="267"/>
    </row>
    <row r="68" spans="1:18" x14ac:dyDescent="0.25">
      <c r="A68" s="403" t="s">
        <v>43</v>
      </c>
      <c r="B68" s="16" t="s">
        <v>90</v>
      </c>
      <c r="C68" s="237">
        <f>IFERROR(E68/(1+O68^2/P68^2)^_xlfn.T.INV(0.95,Q68),"")</f>
        <v>5.818866534152046</v>
      </c>
      <c r="D68" s="237">
        <f>IFERROR(E68*(1+O68^2/P68^2)^_xlfn.T.INV(0.95,Q68),"")</f>
        <v>9.674806753701084</v>
      </c>
      <c r="E68" s="239">
        <f>_xlfn.IFNA(SQRT(IF(HLOOKUP($A68,'3. Database - output'!$E$2:$R$22,MATCH($O$13,'3. Database - output'!$C$2:$C$22,0),FALSE)="",1,HLOOKUP($A68,'3. Database - output'!$E$2:$R$22,MATCH($O$13,'3. Database - output'!$C$2:$C$22,0),FALSE))*
IF(HLOOKUP($A68,'3. Database - output'!$E$2:$R$22,MATCH($O$15,'3. Database - output'!$C$2:$C$22,0),FALSE)="",1,HLOOKUP($A68,'3. Database - output'!$E$2:$R$22,MATCH($O$15,'3. Database - output'!$C$2:$C$22,0),FALSE)))*HLOOKUP($A68,'3. Database - output'!$E$2:$R$4,3,FALSE),"")</f>
        <v>7.5030933116614928</v>
      </c>
      <c r="F68" s="240">
        <v>6.5</v>
      </c>
      <c r="G68" s="237">
        <f>C68</f>
        <v>5.818866534152046</v>
      </c>
      <c r="H68" s="203">
        <f t="shared" ref="H68:H73" si="8">D68</f>
        <v>9.674806753701084</v>
      </c>
      <c r="I68" s="237">
        <f t="shared" ref="I68:I73" si="9">E68</f>
        <v>7.5030933116614928</v>
      </c>
      <c r="J68" s="240">
        <v>6</v>
      </c>
      <c r="K68" s="162" t="s">
        <v>184</v>
      </c>
      <c r="L68" s="174" t="str">
        <f>_xlfn.IFNA(IF(AND(HLOOKUP($A68,'3. Database - output'!$E$2:$R$22,MATCH($O$13,'3. Database - output'!$C$2:$C$22,0),FALSE)="",HLOOKUP($A68,'3. Database - output'!$E$2:$R$22,MATCH($O$15,'3. Database - output'!$C$2:$C$22,0),FALSE)=""),"No value for '"&amp; $O$13 &amp; "' and '" &amp; $O$15 &amp; "' in database, Factor 1 used",
IF(HLOOKUP($A68,'3. Database - output'!$E$2:$R$22,MATCH($O$13,'3. Database - output'!$C$2:$C$22,0),FALSE)="","No value for '"&amp;$O$13&amp;"' in database, Factor 1 used","") &amp;
IF(HLOOKUP($A68,'3. Database - output'!$E$2:$R$22,MATCH($O$15,'3. Database - output'!$C$2:$C$22,0),FALSE)="","No value for '"&amp;$O$15&amp;"' in database, Factor 1 used","")),"")</f>
        <v/>
      </c>
      <c r="M68" s="258"/>
      <c r="O68" s="135">
        <f>HLOOKUP($A68,'3. Database - output'!$E$2:$R$7,5,FALSE)</f>
        <v>3.6789875287152105</v>
      </c>
      <c r="P68" s="135">
        <f>HLOOKUP($A68,'3. Database - output'!$E$2:$R$7,4,FALSE)</f>
        <v>9.0789933813987034</v>
      </c>
      <c r="Q68" s="83">
        <f>HLOOKUP($A68,'3. Database - output'!$E$2:$R$7,6,FALSE)</f>
        <v>57</v>
      </c>
    </row>
    <row r="69" spans="1:18" x14ac:dyDescent="0.25">
      <c r="A69" s="404"/>
      <c r="B69" s="18" t="s">
        <v>182</v>
      </c>
      <c r="C69" s="200">
        <f t="shared" ref="C69:E70" si="10">IFERROR($R69*C$68,"")</f>
        <v>5.1145068137476342</v>
      </c>
      <c r="D69" s="200">
        <f t="shared" si="10"/>
        <v>8.5036947957264939</v>
      </c>
      <c r="E69" s="241">
        <f t="shared" si="10"/>
        <v>6.5948620133232083</v>
      </c>
      <c r="F69" s="242">
        <v>5.5</v>
      </c>
      <c r="G69" s="228">
        <f>C69</f>
        <v>5.1145068137476342</v>
      </c>
      <c r="H69" s="200">
        <f t="shared" si="8"/>
        <v>8.5036947957264939</v>
      </c>
      <c r="I69" s="228">
        <f t="shared" si="9"/>
        <v>6.5948620133232083</v>
      </c>
      <c r="J69" s="242">
        <v>5.5</v>
      </c>
      <c r="K69" s="19" t="s">
        <v>184</v>
      </c>
      <c r="L69" s="150" t="str">
        <f>"General value for Nitrogen ratio BW used: "</f>
        <v xml:space="preserve">General value for Nitrogen ratio BW used: </v>
      </c>
      <c r="M69" s="311">
        <f>R69</f>
        <v>0.87895241860757767</v>
      </c>
      <c r="O69" s="82"/>
      <c r="R69" s="23">
        <f>'3. Database - output'!$O$4</f>
        <v>0.87895241860757767</v>
      </c>
    </row>
    <row r="70" spans="1:18" x14ac:dyDescent="0.25">
      <c r="A70" s="405"/>
      <c r="B70" s="20" t="s">
        <v>183</v>
      </c>
      <c r="C70" s="202">
        <f t="shared" si="10"/>
        <v>0.70435972040441219</v>
      </c>
      <c r="D70" s="202">
        <f t="shared" si="10"/>
        <v>1.1711119579745892</v>
      </c>
      <c r="E70" s="243">
        <f t="shared" si="10"/>
        <v>0.9082312983382842</v>
      </c>
      <c r="F70" s="202">
        <f>IF(AND(ISNUMBER(F68),ISNUMBER(F69)),F68-F69,"")</f>
        <v>1</v>
      </c>
      <c r="G70" s="202">
        <f t="shared" ref="G70:G73" si="11">C70</f>
        <v>0.70435972040441219</v>
      </c>
      <c r="H70" s="202">
        <f t="shared" si="8"/>
        <v>1.1711119579745892</v>
      </c>
      <c r="I70" s="202">
        <f t="shared" si="9"/>
        <v>0.9082312983382842</v>
      </c>
      <c r="J70" s="202">
        <f>IF(AND(ISNUMBER(J68),ISNUMBER(J69)),J68-J69,"")</f>
        <v>0.5</v>
      </c>
      <c r="K70" s="21" t="s">
        <v>184</v>
      </c>
      <c r="L70" s="151" t="str">
        <f>"General value for Nitrogen ratio GW used: "</f>
        <v xml:space="preserve">General value for Nitrogen ratio GW used: </v>
      </c>
      <c r="M70" s="312">
        <f>R70</f>
        <v>0.12104758139242233</v>
      </c>
      <c r="O70" s="82"/>
      <c r="R70" s="23">
        <f>1-R69</f>
        <v>0.12104758139242233</v>
      </c>
    </row>
    <row r="71" spans="1:18" ht="15" customHeight="1" x14ac:dyDescent="0.25">
      <c r="A71" s="403" t="s">
        <v>44</v>
      </c>
      <c r="B71" s="16" t="s">
        <v>90</v>
      </c>
      <c r="C71" s="237">
        <f>IFERROR(E71/(1+O71^2/P71^2)^_xlfn.T.INV(0.95,Q71),"")</f>
        <v>0.63946372830686693</v>
      </c>
      <c r="D71" s="237">
        <f>IFERROR(E71*(1+O71^2/P71^2)^_xlfn.T.INV(0.95,Q71),"")</f>
        <v>3.0795500439159866</v>
      </c>
      <c r="E71" s="239">
        <f>_xlfn.IFNA(SQRT(IF(HLOOKUP($A71,'3. Database - output'!$E$2:$R$22,MATCH($O$13,'3. Database - output'!$C$2:$C$22,0),FALSE)="",1,HLOOKUP($A71,'3. Database - output'!$E$2:$R$22,MATCH($O$13,'3. Database - output'!$C$2:$C$22,0),FALSE))*
IF(HLOOKUP($A71,'3. Database - output'!$E$2:$R$22,MATCH($O$15,'3. Database - output'!$C$2:$C$22,0),FALSE)="",1,HLOOKUP($A71,'3. Database - output'!$E$2:$R$22,MATCH($O$15,'3. Database - output'!$C$2:$C$22,0),FALSE)))*HLOOKUP($A71,'3. Database - output'!$E$2:$R$4,3,FALSE),"")</f>
        <v>1.4033034428056153</v>
      </c>
      <c r="F71" s="240">
        <v>1.4</v>
      </c>
      <c r="G71" s="237">
        <f t="shared" si="11"/>
        <v>0.63946372830686693</v>
      </c>
      <c r="H71" s="203">
        <f t="shared" si="8"/>
        <v>3.0795500439159866</v>
      </c>
      <c r="I71" s="237">
        <f t="shared" si="9"/>
        <v>1.4033034428056153</v>
      </c>
      <c r="J71" s="240">
        <v>1</v>
      </c>
      <c r="K71" s="17" t="s">
        <v>184</v>
      </c>
      <c r="L71" s="174" t="str">
        <f>_xlfn.IFNA(IF(AND(HLOOKUP($A71,'3. Database - output'!$E$2:$R$22,MATCH($O$13,'3. Database - output'!$C$2:$C$22,0),FALSE)="",HLOOKUP($A71,'3. Database - output'!$E$2:$R$22,MATCH($O$15,'3. Database - output'!$C$2:$C$22,0),FALSE)=""),"No value for '"&amp; $O$13 &amp; "' and '" &amp; $O$15 &amp; "' in database, Factor 1 used",
IF(HLOOKUP($A71,'3. Database - output'!$E$2:$R$22,MATCH($O$13,'3. Database - output'!$C$2:$C$22,0),FALSE)="","No value for '"&amp;$O$13&amp;"' in database, Factor 1 used","") &amp;
IF(HLOOKUP($A71,'3. Database - output'!$E$2:$R$22,MATCH($O$15,'3. Database - output'!$C$2:$C$22,0),FALSE)="","No value for '"&amp;$O$15&amp;"' in database, Factor 1 used","")),"")</f>
        <v>No value for 'LMI' in database, Factor 1 used</v>
      </c>
      <c r="M71" s="313"/>
      <c r="O71" s="135">
        <f>HLOOKUP($A71,'3. Database - output'!$E$2:$R$7,5,FALSE)</f>
        <v>1.2204827086444421</v>
      </c>
      <c r="P71" s="135">
        <f>HLOOKUP($A71,'3. Database - output'!$E$2:$R$7,4,FALSE)</f>
        <v>1.5764241045154743</v>
      </c>
      <c r="Q71" s="83">
        <f>HLOOKUP($A71,'3. Database - output'!$E$2:$R$7,6,FALSE)</f>
        <v>54</v>
      </c>
    </row>
    <row r="72" spans="1:18" x14ac:dyDescent="0.25">
      <c r="A72" s="404"/>
      <c r="B72" s="18" t="s">
        <v>182</v>
      </c>
      <c r="C72" s="200">
        <f t="shared" ref="C72:E73" si="12">IFERROR($R72*C$71,"")</f>
        <v>0.49888703343022928</v>
      </c>
      <c r="D72" s="200">
        <f t="shared" si="12"/>
        <v>2.4025562634756881</v>
      </c>
      <c r="E72" s="241">
        <f t="shared" si="12"/>
        <v>1.0948078219188071</v>
      </c>
      <c r="F72" s="242">
        <v>1.2</v>
      </c>
      <c r="G72" s="228">
        <f t="shared" si="11"/>
        <v>0.49888703343022928</v>
      </c>
      <c r="H72" s="200">
        <f t="shared" si="8"/>
        <v>2.4025562634756881</v>
      </c>
      <c r="I72" s="228">
        <f t="shared" si="9"/>
        <v>1.0948078219188071</v>
      </c>
      <c r="J72" s="242">
        <v>0.9</v>
      </c>
      <c r="K72" s="19" t="s">
        <v>184</v>
      </c>
      <c r="L72" s="150" t="str">
        <f>"General value for Phosphorus ratio BW used: "</f>
        <v xml:space="preserve">General value for Phosphorus ratio BW used: </v>
      </c>
      <c r="M72" s="311">
        <f>R72</f>
        <v>0.78016470887434375</v>
      </c>
      <c r="R72" s="23">
        <f>'3. Database - output'!$Q$4</f>
        <v>0.78016470887434375</v>
      </c>
    </row>
    <row r="73" spans="1:18" ht="15.75" thickBot="1" x14ac:dyDescent="0.3">
      <c r="A73" s="406"/>
      <c r="B73" s="314" t="s">
        <v>183</v>
      </c>
      <c r="C73" s="315">
        <f t="shared" si="12"/>
        <v>0.14057669487663765</v>
      </c>
      <c r="D73" s="315">
        <f t="shared" si="12"/>
        <v>0.67699378044029845</v>
      </c>
      <c r="E73" s="316">
        <f t="shared" si="12"/>
        <v>0.30849562088680815</v>
      </c>
      <c r="F73" s="315">
        <f>IF(AND(ISNUMBER(F71),ISNUMBER(F72)),F71-F72,"")</f>
        <v>0.19999999999999996</v>
      </c>
      <c r="G73" s="315">
        <f t="shared" si="11"/>
        <v>0.14057669487663765</v>
      </c>
      <c r="H73" s="317">
        <f t="shared" si="8"/>
        <v>0.67699378044029845</v>
      </c>
      <c r="I73" s="315">
        <f t="shared" si="9"/>
        <v>0.30849562088680815</v>
      </c>
      <c r="J73" s="315">
        <f>IF(AND(ISNUMBER(J71),ISNUMBER(J72)),J71-J72,"")</f>
        <v>9.9999999999999978E-2</v>
      </c>
      <c r="K73" s="318" t="s">
        <v>184</v>
      </c>
      <c r="L73" s="277" t="str">
        <f>"General value for Phosphorus ratio GW used: "</f>
        <v xml:space="preserve">General value for Phosphorus ratio GW used: </v>
      </c>
      <c r="M73" s="319">
        <f>R73</f>
        <v>0.21983529112565625</v>
      </c>
      <c r="R73" s="23">
        <f>1-R72</f>
        <v>0.21983529112565625</v>
      </c>
    </row>
    <row r="74" spans="1:18" ht="15.75" thickBot="1" x14ac:dyDescent="0.3"/>
    <row r="75" spans="1:18" ht="18.75" x14ac:dyDescent="0.3">
      <c r="A75" s="252" t="s">
        <v>198</v>
      </c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253"/>
      <c r="M75" s="254"/>
    </row>
    <row r="76" spans="1:18" ht="15.75" x14ac:dyDescent="0.25">
      <c r="A76" s="255" t="s">
        <v>187</v>
      </c>
      <c r="B76" s="167"/>
      <c r="C76" s="368" t="s">
        <v>254</v>
      </c>
      <c r="D76" s="368"/>
      <c r="E76" s="368" t="s">
        <v>48</v>
      </c>
      <c r="F76" s="368"/>
      <c r="G76" s="368" t="s">
        <v>49</v>
      </c>
      <c r="H76" s="368"/>
      <c r="I76" s="368" t="s">
        <v>185</v>
      </c>
      <c r="J76" s="368"/>
      <c r="K76" s="152" t="s">
        <v>172</v>
      </c>
      <c r="L76" s="173"/>
      <c r="M76" s="256"/>
    </row>
    <row r="77" spans="1:18" x14ac:dyDescent="0.25">
      <c r="A77" s="390" t="s">
        <v>206</v>
      </c>
      <c r="B77" s="178" t="s">
        <v>207</v>
      </c>
      <c r="C77" s="380" t="str">
        <f>IF(C22&lt;&gt;"",SUM(E77,G77),"")</f>
        <v/>
      </c>
      <c r="D77" s="380"/>
      <c r="E77" s="380">
        <f>IFERROR(IF($C$20&gt;0,IF(F49&lt;&gt;"",F49,E49)*$C$20*(1+$C$23)/1000,""),"")</f>
        <v>4.9000000000000004</v>
      </c>
      <c r="F77" s="380"/>
      <c r="G77" s="380" t="str">
        <f>IFERROR(IF($C$21&gt;0,IF(J49&lt;&gt;"",J49,I49)*$C$21*(1+$C$23)/1000,""),"")</f>
        <v/>
      </c>
      <c r="H77" s="380"/>
      <c r="I77" s="383" t="s">
        <v>190</v>
      </c>
      <c r="J77" s="383"/>
      <c r="K77" s="165" t="s">
        <v>260</v>
      </c>
      <c r="L77" s="149"/>
      <c r="M77" s="258"/>
    </row>
    <row r="78" spans="1:18" x14ac:dyDescent="0.25">
      <c r="A78" s="391"/>
      <c r="B78" s="176" t="s">
        <v>87</v>
      </c>
      <c r="C78" s="379" t="str">
        <f>IF(E22&lt;&gt;"",SUM(E78,G78),"")</f>
        <v/>
      </c>
      <c r="D78" s="379"/>
      <c r="E78" s="379" t="str">
        <f>IFERROR(IF($E$20&gt;0,IF(F54&lt;&gt;"",F54,E54)*$E$20*(1+$C$23)/1000,""),"")</f>
        <v/>
      </c>
      <c r="F78" s="379"/>
      <c r="G78" s="379" t="str">
        <f>IFERROR(IF($E$21&gt;0,IF(J54&lt;&gt;"",J54,I54)*$E$21*(1+$C$23)/1000,""),"")</f>
        <v/>
      </c>
      <c r="H78" s="379"/>
      <c r="I78" s="382" t="s">
        <v>190</v>
      </c>
      <c r="J78" s="382"/>
      <c r="K78" s="155" t="s">
        <v>239</v>
      </c>
      <c r="L78" s="150"/>
      <c r="M78" s="269"/>
    </row>
    <row r="79" spans="1:18" x14ac:dyDescent="0.25">
      <c r="A79" s="392"/>
      <c r="B79" s="179" t="s">
        <v>91</v>
      </c>
      <c r="C79" s="381" t="str">
        <f>IF(F22&lt;&gt;"",SUM(E79,G79),"")</f>
        <v/>
      </c>
      <c r="D79" s="381"/>
      <c r="E79" s="381" t="str">
        <f>IFERROR(IF($F$20&gt;0,IF(F55&lt;&gt;"",F55,E55)*$F$20*(1+$C$23)/1000,""),"")</f>
        <v/>
      </c>
      <c r="F79" s="381"/>
      <c r="G79" s="381" t="str">
        <f>IFERROR(IF($F$21&gt;0,IF(J55&lt;&gt;"",J55,I55)*$F$21*(1+$C$23)/1000,""),"")</f>
        <v/>
      </c>
      <c r="H79" s="381"/>
      <c r="I79" s="389" t="s">
        <v>190</v>
      </c>
      <c r="J79" s="389"/>
      <c r="K79" s="158" t="s">
        <v>240</v>
      </c>
      <c r="L79" s="151"/>
      <c r="M79" s="260"/>
    </row>
    <row r="80" spans="1:18" x14ac:dyDescent="0.25">
      <c r="A80" s="427" t="s">
        <v>258</v>
      </c>
      <c r="B80" s="178" t="s">
        <v>207</v>
      </c>
      <c r="C80" s="380" t="str">
        <f>IFERROR((E80*E77+G80*G77)/C77,"")</f>
        <v/>
      </c>
      <c r="D80" s="380"/>
      <c r="E80" s="380">
        <f>IF(IF(F50&lt;&gt;"",F50,E50)&gt;0,IF(F50&lt;&gt;"",F50,E50),"")</f>
        <v>3</v>
      </c>
      <c r="F80" s="380"/>
      <c r="G80" s="380">
        <f>IF(IF(J50&lt;&gt;"",J50,I50)&gt;0,IF(J50&lt;&gt;"",J50,I50),"")</f>
        <v>5</v>
      </c>
      <c r="H80" s="380"/>
      <c r="I80" s="431" t="s">
        <v>192</v>
      </c>
      <c r="J80" s="431"/>
      <c r="K80" s="165" t="s">
        <v>260</v>
      </c>
      <c r="L80" s="149"/>
      <c r="M80" s="258"/>
    </row>
    <row r="81" spans="1:13" x14ac:dyDescent="0.25">
      <c r="A81" s="418"/>
      <c r="B81" s="176" t="s">
        <v>87</v>
      </c>
      <c r="C81" s="379" t="str">
        <f>IFERROR((E81*E78+G81*G78)/C78,"")</f>
        <v/>
      </c>
      <c r="D81" s="379"/>
      <c r="E81" s="379">
        <f>IF(IF(F51&lt;&gt;"",F51,E51)&gt;0,IF(F51&lt;&gt;"",F51,E51),"")</f>
        <v>3.2</v>
      </c>
      <c r="F81" s="379"/>
      <c r="G81" s="379">
        <f>IF(IF(J51&lt;&gt;"",J51,I51)&gt;0,IF(J51&lt;&gt;"",J51,I51),"")</f>
        <v>5.5</v>
      </c>
      <c r="H81" s="379"/>
      <c r="I81" s="425" t="s">
        <v>192</v>
      </c>
      <c r="J81" s="425"/>
      <c r="K81" s="155" t="s">
        <v>239</v>
      </c>
      <c r="L81" s="150"/>
      <c r="M81" s="269"/>
    </row>
    <row r="82" spans="1:13" x14ac:dyDescent="0.25">
      <c r="A82" s="419"/>
      <c r="B82" s="179" t="s">
        <v>91</v>
      </c>
      <c r="C82" s="381" t="str">
        <f>IFERROR((E82*E79+G82*G79)/C79,"")</f>
        <v/>
      </c>
      <c r="D82" s="381"/>
      <c r="E82" s="381">
        <f>IF(IF(F52&lt;&gt;"",F52,E52)&gt;0,IF(F52&lt;&gt;"",F52,E52),"")</f>
        <v>3.2</v>
      </c>
      <c r="F82" s="381"/>
      <c r="G82" s="381">
        <f>IF(IF(J52&lt;&gt;"",J52,I52)&gt;0,IF(J52&lt;&gt;"",J52,I52),"")</f>
        <v>5.5</v>
      </c>
      <c r="H82" s="381"/>
      <c r="I82" s="424" t="s">
        <v>192</v>
      </c>
      <c r="J82" s="424"/>
      <c r="K82" s="158" t="s">
        <v>240</v>
      </c>
      <c r="L82" s="151"/>
      <c r="M82" s="260"/>
    </row>
    <row r="83" spans="1:13" x14ac:dyDescent="0.25">
      <c r="A83" s="417" t="s">
        <v>194</v>
      </c>
      <c r="B83" s="178" t="s">
        <v>207</v>
      </c>
      <c r="C83" s="380" t="str">
        <f>IFERROR(C80*C77/24,"")</f>
        <v/>
      </c>
      <c r="D83" s="380"/>
      <c r="E83" s="380">
        <f>IFERROR(E80*E77/24,"")</f>
        <v>0.61250000000000004</v>
      </c>
      <c r="F83" s="380"/>
      <c r="G83" s="380" t="str">
        <f>IFERROR(G80*G77/24,"")</f>
        <v/>
      </c>
      <c r="H83" s="380"/>
      <c r="I83" s="430" t="s">
        <v>197</v>
      </c>
      <c r="J83" s="430"/>
      <c r="K83" s="165" t="s">
        <v>260</v>
      </c>
      <c r="L83" s="149"/>
      <c r="M83" s="258"/>
    </row>
    <row r="84" spans="1:13" x14ac:dyDescent="0.25">
      <c r="A84" s="418"/>
      <c r="B84" s="176" t="s">
        <v>87</v>
      </c>
      <c r="C84" s="379" t="str">
        <f>IFERROR(C81*C78/24,"")</f>
        <v/>
      </c>
      <c r="D84" s="379"/>
      <c r="E84" s="379" t="str">
        <f>IFERROR(E81*E78/24,"")</f>
        <v/>
      </c>
      <c r="F84" s="379"/>
      <c r="G84" s="379" t="str">
        <f>IFERROR(G81*G78/24,"")</f>
        <v/>
      </c>
      <c r="H84" s="379"/>
      <c r="I84" s="429" t="s">
        <v>197</v>
      </c>
      <c r="J84" s="429"/>
      <c r="K84" s="155" t="s">
        <v>239</v>
      </c>
      <c r="L84" s="150"/>
      <c r="M84" s="269"/>
    </row>
    <row r="85" spans="1:13" x14ac:dyDescent="0.25">
      <c r="A85" s="419"/>
      <c r="B85" s="179" t="s">
        <v>91</v>
      </c>
      <c r="C85" s="381" t="str">
        <f>IFERROR(C82*C79/24,"")</f>
        <v/>
      </c>
      <c r="D85" s="381"/>
      <c r="E85" s="381" t="str">
        <f>IFERROR(E82*E79/24,"")</f>
        <v/>
      </c>
      <c r="F85" s="381"/>
      <c r="G85" s="381" t="str">
        <f>IFERROR(G82*G79/24,"")</f>
        <v/>
      </c>
      <c r="H85" s="381"/>
      <c r="I85" s="428" t="s">
        <v>197</v>
      </c>
      <c r="J85" s="428"/>
      <c r="K85" s="158" t="s">
        <v>240</v>
      </c>
      <c r="L85" s="151"/>
      <c r="M85" s="260"/>
    </row>
    <row r="86" spans="1:13" s="15" customFormat="1" ht="6" customHeight="1" x14ac:dyDescent="0.25">
      <c r="A86" s="321"/>
      <c r="B86" s="24"/>
      <c r="C86" s="24"/>
      <c r="D86" s="24"/>
      <c r="E86" s="177"/>
      <c r="F86" s="24"/>
      <c r="G86" s="177"/>
      <c r="H86" s="24"/>
      <c r="I86" s="24"/>
      <c r="J86" s="24"/>
      <c r="K86" s="24"/>
      <c r="L86" s="24"/>
      <c r="M86" s="273"/>
    </row>
    <row r="87" spans="1:13" s="15" customFormat="1" ht="15" customHeight="1" x14ac:dyDescent="0.25">
      <c r="A87" s="420" t="s">
        <v>226</v>
      </c>
      <c r="B87" s="421"/>
      <c r="C87" s="357" t="s">
        <v>227</v>
      </c>
      <c r="D87" s="357"/>
      <c r="E87" s="357"/>
      <c r="F87" s="357"/>
      <c r="G87" s="426" t="s">
        <v>195</v>
      </c>
      <c r="H87" s="426"/>
      <c r="I87" s="426"/>
      <c r="J87" s="426"/>
      <c r="K87" s="360" t="s">
        <v>172</v>
      </c>
      <c r="L87" s="360"/>
      <c r="M87" s="266"/>
    </row>
    <row r="88" spans="1:13" s="15" customFormat="1" ht="31.5" x14ac:dyDescent="0.25">
      <c r="A88" s="422"/>
      <c r="B88" s="423"/>
      <c r="C88" s="222" t="s">
        <v>255</v>
      </c>
      <c r="D88" s="220" t="s">
        <v>48</v>
      </c>
      <c r="E88" s="220" t="s">
        <v>49</v>
      </c>
      <c r="F88" s="220" t="s">
        <v>185</v>
      </c>
      <c r="G88" s="222" t="s">
        <v>255</v>
      </c>
      <c r="H88" s="220" t="s">
        <v>48</v>
      </c>
      <c r="I88" s="223" t="s">
        <v>49</v>
      </c>
      <c r="J88" s="220" t="s">
        <v>185</v>
      </c>
      <c r="K88" s="361"/>
      <c r="L88" s="361"/>
      <c r="M88" s="267"/>
    </row>
    <row r="89" spans="1:13" x14ac:dyDescent="0.25">
      <c r="A89" s="413" t="s">
        <v>84</v>
      </c>
      <c r="B89" s="178" t="s">
        <v>207</v>
      </c>
      <c r="C89" s="183" t="str">
        <f>IFERROR(IF($C$22&gt;0,IF($F59&lt;&gt;"",$F59,$E59)*$C$22/1000,""),"")</f>
        <v/>
      </c>
      <c r="D89" s="183">
        <f>IFERROR(IF($C$20&gt;0,IF($F59&lt;&gt;"",$F59,$E59)*$C$20/1000,""),"")</f>
        <v>4.5</v>
      </c>
      <c r="E89" s="183" t="str">
        <f>IFERROR(IF($C$21&gt;0,IF($F59&lt;&gt;"",$F59,$E59)*$C$21/1000,""),"")</f>
        <v/>
      </c>
      <c r="F89" s="187" t="s">
        <v>191</v>
      </c>
      <c r="G89" s="249" t="str">
        <f>IFERROR(C89/C77*1000,"")</f>
        <v/>
      </c>
      <c r="H89" s="249">
        <f>IFERROR(D89/E77*1000,"")</f>
        <v>918.36734693877543</v>
      </c>
      <c r="I89" s="249" t="str">
        <f>IFERROR(E89/G77*1000,"")</f>
        <v/>
      </c>
      <c r="J89" s="190" t="s">
        <v>253</v>
      </c>
      <c r="K89" s="165" t="s">
        <v>260</v>
      </c>
      <c r="L89" s="149"/>
      <c r="M89" s="258"/>
    </row>
    <row r="90" spans="1:13" x14ac:dyDescent="0.25">
      <c r="A90" s="414"/>
      <c r="B90" s="176" t="s">
        <v>228</v>
      </c>
      <c r="C90" s="182" t="str">
        <f>IFERROR(IF($E$22&gt;0,IF($F60&lt;&gt;"",$F60,$E60)*$E$22/1000,""),"")</f>
        <v/>
      </c>
      <c r="D90" s="182" t="str">
        <f>IFERROR(IF($E$20&gt;0,IF($F60&lt;&gt;"",$F60,$E60)*$E$20/1000,""),"")</f>
        <v/>
      </c>
      <c r="E90" s="182" t="str">
        <f>IFERROR(IF($E$21&gt;0,IF($F60&lt;&gt;"",$F60,$E60)*$E$21/1000,""),"")</f>
        <v/>
      </c>
      <c r="F90" s="186" t="s">
        <v>191</v>
      </c>
      <c r="G90" s="250" t="str">
        <f>IFERROR(C90/C78*1000,"")</f>
        <v/>
      </c>
      <c r="H90" s="250" t="str">
        <f>IFERROR(D90/E78*1000,"")</f>
        <v/>
      </c>
      <c r="I90" s="250" t="str">
        <f>IFERROR(E90/G78*1000,"")</f>
        <v/>
      </c>
      <c r="J90" s="189" t="s">
        <v>253</v>
      </c>
      <c r="K90" s="155" t="s">
        <v>239</v>
      </c>
      <c r="L90" s="150"/>
      <c r="M90" s="269"/>
    </row>
    <row r="91" spans="1:13" x14ac:dyDescent="0.25">
      <c r="A91" s="415"/>
      <c r="B91" s="179" t="s">
        <v>229</v>
      </c>
      <c r="C91" s="185" t="str">
        <f>IFERROR(IF($F$22&gt;0,IF($F61&lt;&gt;"",$F61,$E61)*$F$22/1000,""),"")</f>
        <v/>
      </c>
      <c r="D91" s="185" t="str">
        <f>IFERROR(IF($F$20&gt;0,IF($F61&lt;&gt;"",$F61,$E61)*$F$20/1000,""),"")</f>
        <v/>
      </c>
      <c r="E91" s="185" t="str">
        <f>IFERROR(IF($F$21&gt;0,IF($F61&lt;&gt;"",$F61,$E61)*$F$21/1000,""),"")</f>
        <v/>
      </c>
      <c r="F91" s="191" t="s">
        <v>191</v>
      </c>
      <c r="G91" s="251" t="str">
        <f>IFERROR(C91/C79*1000,"")</f>
        <v/>
      </c>
      <c r="H91" s="251" t="str">
        <f>IFERROR(D91/E79*1000,"")</f>
        <v/>
      </c>
      <c r="I91" s="251" t="str">
        <f>IFERROR(E91/G79*1000,"")</f>
        <v/>
      </c>
      <c r="J91" s="188" t="s">
        <v>253</v>
      </c>
      <c r="K91" s="158" t="s">
        <v>240</v>
      </c>
      <c r="L91" s="151"/>
      <c r="M91" s="260"/>
    </row>
    <row r="92" spans="1:13" x14ac:dyDescent="0.25">
      <c r="A92" s="413" t="s">
        <v>83</v>
      </c>
      <c r="B92" s="178" t="s">
        <v>207</v>
      </c>
      <c r="C92" s="183" t="str">
        <f>IFERROR(IF($C$22&gt;0,IF($F62&lt;&gt;"",$F62,$E62)*$C$22/1000,""),"")</f>
        <v/>
      </c>
      <c r="D92" s="183">
        <f>IFERROR(IF($C$20&gt;0,IF($F62&lt;&gt;"",$F62,$E62)*$C$20/1000,""),"")</f>
        <v>9</v>
      </c>
      <c r="E92" s="183" t="str">
        <f>IFERROR(IF($C$21&gt;0,IF($F62&lt;&gt;"",$F62,$E62)*$C$21/1000,""),"")</f>
        <v/>
      </c>
      <c r="F92" s="187" t="s">
        <v>191</v>
      </c>
      <c r="G92" s="249" t="str">
        <f>IFERROR(C92/C77*1000,"")</f>
        <v/>
      </c>
      <c r="H92" s="249">
        <f>IFERROR(D92/E77*1000,"")</f>
        <v>1836.7346938775509</v>
      </c>
      <c r="I92" s="249" t="str">
        <f>IFERROR(E92/G77*1000,"")</f>
        <v/>
      </c>
      <c r="J92" s="190" t="s">
        <v>253</v>
      </c>
      <c r="K92" s="165" t="s">
        <v>260</v>
      </c>
      <c r="L92" s="149"/>
      <c r="M92" s="258"/>
    </row>
    <row r="93" spans="1:13" x14ac:dyDescent="0.25">
      <c r="A93" s="414"/>
      <c r="B93" s="176" t="s">
        <v>228</v>
      </c>
      <c r="C93" s="182" t="str">
        <f>IFERROR(IF($E$22&gt;0,IF($F63&lt;&gt;"",$F63,$E63)*$E$22/1000,""),"")</f>
        <v/>
      </c>
      <c r="D93" s="182" t="str">
        <f>IFERROR(IF($E$20&gt;0,IF($F63&lt;&gt;"",$F63,$E63)*$E$20/1000,""),"")</f>
        <v/>
      </c>
      <c r="E93" s="182" t="str">
        <f>IFERROR(IF($E$21&gt;0,IF($F63&lt;&gt;"",$F63,$E63)*$E$21/1000,""),"")</f>
        <v/>
      </c>
      <c r="F93" s="186" t="s">
        <v>191</v>
      </c>
      <c r="G93" s="250" t="str">
        <f t="shared" ref="G93:G94" si="13">IFERROR(C93/C78*1000,"")</f>
        <v/>
      </c>
      <c r="H93" s="250" t="str">
        <f t="shared" ref="H93:H94" si="14">IFERROR(D93/E78*1000,"")</f>
        <v/>
      </c>
      <c r="I93" s="250" t="str">
        <f t="shared" ref="I93:I94" si="15">IFERROR(E93/G78*1000,"")</f>
        <v/>
      </c>
      <c r="J93" s="189" t="s">
        <v>253</v>
      </c>
      <c r="K93" s="155" t="s">
        <v>239</v>
      </c>
      <c r="L93" s="150"/>
      <c r="M93" s="269"/>
    </row>
    <row r="94" spans="1:13" x14ac:dyDescent="0.25">
      <c r="A94" s="415"/>
      <c r="B94" s="179" t="s">
        <v>229</v>
      </c>
      <c r="C94" s="185" t="str">
        <f>IFERROR(IF($F$22&gt;0,IF($F64&lt;&gt;"",$F64,$E64)*$F$22/1000,""),"")</f>
        <v/>
      </c>
      <c r="D94" s="185" t="str">
        <f>IFERROR(IF($F$20&gt;0,IF($F64&lt;&gt;"",$F64,$E64)*$F$20/1000,""),"")</f>
        <v/>
      </c>
      <c r="E94" s="185" t="str">
        <f>IFERROR(IF($F$21&gt;0,IF($F64&lt;&gt;"",$F64,$E64)*$F$21/1000,""),"")</f>
        <v/>
      </c>
      <c r="F94" s="191" t="s">
        <v>191</v>
      </c>
      <c r="G94" s="251" t="str">
        <f t="shared" si="13"/>
        <v/>
      </c>
      <c r="H94" s="251" t="str">
        <f t="shared" si="14"/>
        <v/>
      </c>
      <c r="I94" s="251" t="str">
        <f t="shared" si="15"/>
        <v/>
      </c>
      <c r="J94" s="188" t="s">
        <v>253</v>
      </c>
      <c r="K94" s="158" t="s">
        <v>240</v>
      </c>
      <c r="L94" s="151"/>
      <c r="M94" s="260"/>
    </row>
    <row r="95" spans="1:13" x14ac:dyDescent="0.25">
      <c r="A95" s="413" t="s">
        <v>43</v>
      </c>
      <c r="B95" s="178" t="s">
        <v>207</v>
      </c>
      <c r="C95" s="183" t="str">
        <f>IFERROR(IF($C$22&gt;0,IF($F68&lt;&gt;"",$F68,$E68)*$C$22/1000,""),"")</f>
        <v/>
      </c>
      <c r="D95" s="183">
        <f>IFERROR(IF($C$20&gt;0,IF($F68&lt;&gt;"",$F68,$E68)*$C$20/1000,""),"")</f>
        <v>0.65</v>
      </c>
      <c r="E95" s="183" t="str">
        <f>IFERROR(IF($C$21&gt;0,IF($F68&lt;&gt;"",$F68,$E68)*$C$21/1000,""),"")</f>
        <v/>
      </c>
      <c r="F95" s="187" t="s">
        <v>191</v>
      </c>
      <c r="G95" s="249" t="str">
        <f>IFERROR(C95/C77*1000,"")</f>
        <v/>
      </c>
      <c r="H95" s="249">
        <f>IFERROR(D95/E77*1000,"")</f>
        <v>132.65306122448982</v>
      </c>
      <c r="I95" s="249" t="str">
        <f>IFERROR(E95/G77*1000,"")</f>
        <v/>
      </c>
      <c r="J95" s="190" t="s">
        <v>253</v>
      </c>
      <c r="K95" s="165" t="s">
        <v>260</v>
      </c>
      <c r="L95" s="149"/>
      <c r="M95" s="258"/>
    </row>
    <row r="96" spans="1:13" x14ac:dyDescent="0.25">
      <c r="A96" s="414"/>
      <c r="B96" s="176" t="s">
        <v>228</v>
      </c>
      <c r="C96" s="182" t="str">
        <f>IFERROR(IF($E$22&gt;0,IF($F69&lt;&gt;"",$F69,$E69)*$E$22/1000,""),"")</f>
        <v/>
      </c>
      <c r="D96" s="182" t="str">
        <f>IFERROR(IF($E$20&gt;0,IF($F69&lt;&gt;"",$F69,$E69)*$E$20/1000,""),"")</f>
        <v/>
      </c>
      <c r="E96" s="182" t="str">
        <f>IFERROR(IF($E$21&gt;0,IF($F69&lt;&gt;"",$F69,$E69)*$E$21/1000,""),"")</f>
        <v/>
      </c>
      <c r="F96" s="186" t="s">
        <v>191</v>
      </c>
      <c r="G96" s="250" t="str">
        <f t="shared" ref="G96:G97" si="16">IFERROR(C96/C78*1000,"")</f>
        <v/>
      </c>
      <c r="H96" s="250" t="str">
        <f t="shared" ref="H96:H97" si="17">IFERROR(D96/E78*1000,"")</f>
        <v/>
      </c>
      <c r="I96" s="250" t="str">
        <f t="shared" ref="I96:I97" si="18">IFERROR(E96/G78*1000,"")</f>
        <v/>
      </c>
      <c r="J96" s="189" t="s">
        <v>253</v>
      </c>
      <c r="K96" s="155" t="s">
        <v>239</v>
      </c>
      <c r="L96" s="150"/>
      <c r="M96" s="269"/>
    </row>
    <row r="97" spans="1:13" x14ac:dyDescent="0.25">
      <c r="A97" s="415"/>
      <c r="B97" s="179" t="s">
        <v>229</v>
      </c>
      <c r="C97" s="185" t="str">
        <f>IFERROR(IF($F$22&gt;0,IF($F70&lt;&gt;"",$F70,$E70)*$F$22/1000,""),"")</f>
        <v/>
      </c>
      <c r="D97" s="185" t="str">
        <f>IFERROR(IF($F$20&gt;0,IF($F70&lt;&gt;"",$F70,$E70)*$F$20/1000,""),"")</f>
        <v/>
      </c>
      <c r="E97" s="185" t="str">
        <f>IFERROR(IF($F$21&gt;0,IF($F70&lt;&gt;"",$F70,$E70)*$F$21/1000,""),"")</f>
        <v/>
      </c>
      <c r="F97" s="191" t="s">
        <v>191</v>
      </c>
      <c r="G97" s="251" t="str">
        <f t="shared" si="16"/>
        <v/>
      </c>
      <c r="H97" s="251" t="str">
        <f t="shared" si="17"/>
        <v/>
      </c>
      <c r="I97" s="251" t="str">
        <f t="shared" si="18"/>
        <v/>
      </c>
      <c r="J97" s="188" t="s">
        <v>253</v>
      </c>
      <c r="K97" s="158" t="s">
        <v>240</v>
      </c>
      <c r="L97" s="151"/>
      <c r="M97" s="260"/>
    </row>
    <row r="98" spans="1:13" x14ac:dyDescent="0.25">
      <c r="A98" s="413" t="s">
        <v>44</v>
      </c>
      <c r="B98" s="178" t="s">
        <v>207</v>
      </c>
      <c r="C98" s="183" t="str">
        <f>IFERROR(IF($C$22&gt;0,IF($F71&lt;&gt;"",$F71,$E71)*$C$22/1000,""),"")</f>
        <v/>
      </c>
      <c r="D98" s="183">
        <f>IFERROR(IF($C$20&gt;0,IF($F71&lt;&gt;"",$F71,$E71)*$C$20/1000,""),"")</f>
        <v>0.14000000000000001</v>
      </c>
      <c r="E98" s="183" t="str">
        <f>IFERROR(IF($C$21&gt;0,IF($F71&lt;&gt;"",$F71,$E71)*$C$21/1000,""),"")</f>
        <v/>
      </c>
      <c r="F98" s="187" t="s">
        <v>191</v>
      </c>
      <c r="G98" s="249" t="str">
        <f>IFERROR(C98/C77*1000,"")</f>
        <v/>
      </c>
      <c r="H98" s="249">
        <f>IFERROR(D98/E77*1000,"")</f>
        <v>28.571428571428569</v>
      </c>
      <c r="I98" s="249" t="str">
        <f>IFERROR(E98/G77*1000,"")</f>
        <v/>
      </c>
      <c r="J98" s="190" t="s">
        <v>253</v>
      </c>
      <c r="K98" s="165" t="s">
        <v>260</v>
      </c>
      <c r="L98" s="149"/>
      <c r="M98" s="258"/>
    </row>
    <row r="99" spans="1:13" x14ac:dyDescent="0.25">
      <c r="A99" s="414"/>
      <c r="B99" s="176" t="s">
        <v>228</v>
      </c>
      <c r="C99" s="182" t="str">
        <f>IFERROR(IF($E$22&gt;0,IF($F72&lt;&gt;"",$F72,$E72)*$E$22/1000,""),"")</f>
        <v/>
      </c>
      <c r="D99" s="182" t="str">
        <f>IFERROR(IF($E$20&gt;0,IF($F72&lt;&gt;"",$F72,$E72)*$E$20/1000,""),"")</f>
        <v/>
      </c>
      <c r="E99" s="182" t="str">
        <f>IFERROR(IF($E$21&gt;0,IF($F72&lt;&gt;"",$F72,$E72)*$E$21/1000,""),"")</f>
        <v/>
      </c>
      <c r="F99" s="186" t="s">
        <v>191</v>
      </c>
      <c r="G99" s="250" t="str">
        <f>IFERROR(C99/C78*1000,"")</f>
        <v/>
      </c>
      <c r="H99" s="250" t="str">
        <f>IFERROR(D99/E78*1000,"")</f>
        <v/>
      </c>
      <c r="I99" s="250" t="str">
        <f>IFERROR(E99/G78*1000,"")</f>
        <v/>
      </c>
      <c r="J99" s="189" t="s">
        <v>253</v>
      </c>
      <c r="K99" s="155" t="s">
        <v>239</v>
      </c>
      <c r="L99" s="150"/>
      <c r="M99" s="269"/>
    </row>
    <row r="100" spans="1:13" ht="15.75" thickBot="1" x14ac:dyDescent="0.3">
      <c r="A100" s="416"/>
      <c r="B100" s="322" t="s">
        <v>229</v>
      </c>
      <c r="C100" s="323" t="str">
        <f>IFERROR(IF($F$22&gt;0,IF($F73&lt;&gt;"",$F73,$E73)*$F$22/1000,""),"")</f>
        <v/>
      </c>
      <c r="D100" s="323" t="str">
        <f>IFERROR(IF($F$20&gt;0,IF($F73&lt;&gt;"",$F73,$E73)*$F$20/1000,""),"")</f>
        <v/>
      </c>
      <c r="E100" s="323" t="str">
        <f>IFERROR(IF($F$21&gt;0,IF($F73&lt;&gt;"",$F73,$E73)*$F$21/1000,""),"")</f>
        <v/>
      </c>
      <c r="F100" s="324" t="s">
        <v>191</v>
      </c>
      <c r="G100" s="325" t="str">
        <f>IFERROR(C100/C79*1000,"")</f>
        <v/>
      </c>
      <c r="H100" s="325" t="str">
        <f>IFERROR(D100/E79*1000,"")</f>
        <v/>
      </c>
      <c r="I100" s="325" t="str">
        <f>IFERROR(E100/G79*1000,"")</f>
        <v/>
      </c>
      <c r="J100" s="326" t="s">
        <v>253</v>
      </c>
      <c r="K100" s="276" t="s">
        <v>240</v>
      </c>
      <c r="L100" s="277"/>
      <c r="M100" s="278"/>
    </row>
    <row r="101" spans="1:13" x14ac:dyDescent="0.25">
      <c r="I101" s="14"/>
    </row>
    <row r="102" spans="1:13" hidden="1" x14ac:dyDescent="0.25"/>
    <row r="103" spans="1:13" hidden="1" x14ac:dyDescent="0.25"/>
    <row r="104" spans="1:13" hidden="1" x14ac:dyDescent="0.25"/>
    <row r="105" spans="1:13" hidden="1" x14ac:dyDescent="0.25"/>
    <row r="106" spans="1:13" hidden="1" x14ac:dyDescent="0.25"/>
    <row r="107" spans="1:13" hidden="1" x14ac:dyDescent="0.25"/>
    <row r="108" spans="1:13" hidden="1" x14ac:dyDescent="0.25"/>
    <row r="109" spans="1:13" hidden="1" x14ac:dyDescent="0.25"/>
    <row r="110" spans="1:13" hidden="1" x14ac:dyDescent="0.25"/>
    <row r="111" spans="1:13" hidden="1" x14ac:dyDescent="0.25"/>
    <row r="112" spans="1:13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</sheetData>
  <mergeCells count="106">
    <mergeCell ref="A92:A94"/>
    <mergeCell ref="A89:A91"/>
    <mergeCell ref="A98:A100"/>
    <mergeCell ref="A95:A97"/>
    <mergeCell ref="A83:A85"/>
    <mergeCell ref="A87:B88"/>
    <mergeCell ref="I82:J82"/>
    <mergeCell ref="I81:J81"/>
    <mergeCell ref="E82:F82"/>
    <mergeCell ref="E81:F81"/>
    <mergeCell ref="G81:H81"/>
    <mergeCell ref="G82:H82"/>
    <mergeCell ref="G85:H85"/>
    <mergeCell ref="G84:H84"/>
    <mergeCell ref="G83:H83"/>
    <mergeCell ref="C87:F87"/>
    <mergeCell ref="G87:J87"/>
    <mergeCell ref="A80:A82"/>
    <mergeCell ref="I85:J85"/>
    <mergeCell ref="I84:J84"/>
    <mergeCell ref="I83:J83"/>
    <mergeCell ref="I80:J80"/>
    <mergeCell ref="C82:D82"/>
    <mergeCell ref="A77:A79"/>
    <mergeCell ref="K45:K46"/>
    <mergeCell ref="G45:J45"/>
    <mergeCell ref="E41:F41"/>
    <mergeCell ref="E40:F40"/>
    <mergeCell ref="E39:F39"/>
    <mergeCell ref="A39:B39"/>
    <mergeCell ref="A42:B42"/>
    <mergeCell ref="A41:B41"/>
    <mergeCell ref="A40:B40"/>
    <mergeCell ref="A68:A70"/>
    <mergeCell ref="A71:A73"/>
    <mergeCell ref="C45:F45"/>
    <mergeCell ref="A59:A61"/>
    <mergeCell ref="A62:A64"/>
    <mergeCell ref="A50:A52"/>
    <mergeCell ref="C42:D42"/>
    <mergeCell ref="C41:D41"/>
    <mergeCell ref="C40:D40"/>
    <mergeCell ref="C39:D39"/>
    <mergeCell ref="E42:F42"/>
    <mergeCell ref="E25:F25"/>
    <mergeCell ref="C25:D25"/>
    <mergeCell ref="G80:H80"/>
    <mergeCell ref="G79:H79"/>
    <mergeCell ref="G78:H78"/>
    <mergeCell ref="G77:H77"/>
    <mergeCell ref="G76:H76"/>
    <mergeCell ref="G18:L19"/>
    <mergeCell ref="E26:F26"/>
    <mergeCell ref="E27:F27"/>
    <mergeCell ref="C26:D26"/>
    <mergeCell ref="C20:D20"/>
    <mergeCell ref="C27:D27"/>
    <mergeCell ref="I79:J79"/>
    <mergeCell ref="K87:L88"/>
    <mergeCell ref="C6:E6"/>
    <mergeCell ref="C3:E3"/>
    <mergeCell ref="E78:F78"/>
    <mergeCell ref="E77:F77"/>
    <mergeCell ref="E76:F76"/>
    <mergeCell ref="C85:D85"/>
    <mergeCell ref="C84:D84"/>
    <mergeCell ref="C83:D83"/>
    <mergeCell ref="C80:D80"/>
    <mergeCell ref="C79:D79"/>
    <mergeCell ref="C78:D78"/>
    <mergeCell ref="C77:D77"/>
    <mergeCell ref="C76:D76"/>
    <mergeCell ref="E85:F85"/>
    <mergeCell ref="E84:F84"/>
    <mergeCell ref="E83:F83"/>
    <mergeCell ref="E80:F80"/>
    <mergeCell ref="E79:F79"/>
    <mergeCell ref="I78:J78"/>
    <mergeCell ref="I77:J77"/>
    <mergeCell ref="I76:J76"/>
    <mergeCell ref="C81:D81"/>
    <mergeCell ref="C5:E5"/>
    <mergeCell ref="A1:M1"/>
    <mergeCell ref="C57:F57"/>
    <mergeCell ref="G57:J57"/>
    <mergeCell ref="K57:K58"/>
    <mergeCell ref="L57:L58"/>
    <mergeCell ref="K66:K67"/>
    <mergeCell ref="L66:L67"/>
    <mergeCell ref="C66:F66"/>
    <mergeCell ref="G66:J66"/>
    <mergeCell ref="A57:B58"/>
    <mergeCell ref="A66:B67"/>
    <mergeCell ref="L45:L46"/>
    <mergeCell ref="A45:B46"/>
    <mergeCell ref="A18:B19"/>
    <mergeCell ref="C4:E4"/>
    <mergeCell ref="C11:F11"/>
    <mergeCell ref="C14:F14"/>
    <mergeCell ref="C10:F10"/>
    <mergeCell ref="C16:F16"/>
    <mergeCell ref="C22:D22"/>
    <mergeCell ref="C21:D21"/>
    <mergeCell ref="C19:D19"/>
    <mergeCell ref="C18:F18"/>
    <mergeCell ref="C23:F23"/>
  </mergeCells>
  <conditionalFormatting sqref="L59:M59 L62:M62 L68:M68 L71:M71 G31:M33">
    <cfRule type="expression" dxfId="4" priority="5">
      <formula>$G31&lt;&gt;""</formula>
    </cfRule>
  </conditionalFormatting>
  <conditionalFormatting sqref="C26:F26 C40:D42 C47:F55 C59:F64 C68:F73">
    <cfRule type="expression" dxfId="3" priority="4">
      <formula>AND($C$20=0,$E$20=0,$F$20=0)</formula>
    </cfRule>
  </conditionalFormatting>
  <conditionalFormatting sqref="C27:F27 E40:F42 G47:J55 G59:J64 G68:J73">
    <cfRule type="expression" dxfId="2" priority="3">
      <formula>AND($C$21=0,$E$21=0,$F$21=0)</formula>
    </cfRule>
  </conditionalFormatting>
  <conditionalFormatting sqref="G77:H85 E89:E100 I89:I100">
    <cfRule type="expression" dxfId="1" priority="2">
      <formula>AND($C$21=0,$E$21=0,$F$21=0)</formula>
    </cfRule>
  </conditionalFormatting>
  <conditionalFormatting sqref="E77:F85 D89:D100 H89:H100">
    <cfRule type="expression" dxfId="0" priority="1">
      <formula>AND($C$20=0,$E$20=0,$F$20=0)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Dropdown!#REF!</xm:f>
          </x14:formula1>
          <xm:sqref>Q2:Q1048576</xm:sqref>
        </x14:dataValidation>
        <x14:dataValidation type="list" allowBlank="1" showInputMessage="1" showErrorMessage="1" promptTitle="INPUT:" prompt="Select from dropdown menu">
          <x14:formula1>
            <xm:f>Dropdown!$N$66:$N$98</xm:f>
          </x14:formula1>
          <xm:sqref>C11:F11</xm:sqref>
        </x14:dataValidation>
        <x14:dataValidation type="list" allowBlank="1" showInputMessage="1" showErrorMessage="1" promptTitle="INPUT:" prompt="Select from dropdown menu">
          <x14:formula1>
            <xm:f>Dropdown!$Y$3:$Y$6</xm:f>
          </x14:formula1>
          <xm:sqref>C14:F14</xm:sqref>
        </x14:dataValidation>
        <x14:dataValidation type="list" allowBlank="1" showInputMessage="1" showErrorMessage="1" promptTitle="INPUT:" prompt="Select from dropdown menu">
          <x14:formula1>
            <xm:f>Dropdown!$W$3:$W$5</xm:f>
          </x14:formula1>
          <xm:sqref>C16:F16</xm:sqref>
        </x14:dataValidation>
        <x14:dataValidation type="list" allowBlank="1" showInputMessage="1" showErrorMessage="1">
          <x14:formula1>
            <xm:f>Dropdown!$AG$3:$AG$6</xm:f>
          </x14:formula1>
          <xm:sqref>C26:D27</xm:sqref>
        </x14:dataValidation>
        <x14:dataValidation type="list" allowBlank="1" showInputMessage="1" showErrorMessage="1">
          <x14:formula1>
            <xm:f>Dropdown!$AJ$3:$AJ$6</xm:f>
          </x14:formula1>
          <xm:sqref>E26:F27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AT98"/>
  <sheetViews>
    <sheetView zoomScale="55" zoomScaleNormal="55" workbookViewId="0">
      <selection activeCell="E1" sqref="E1:L1"/>
    </sheetView>
  </sheetViews>
  <sheetFormatPr defaultRowHeight="15" x14ac:dyDescent="0.25"/>
  <cols>
    <col min="1" max="1" width="23.7109375" bestFit="1" customWidth="1"/>
    <col min="2" max="2" width="5.7109375" customWidth="1"/>
    <col min="3" max="3" width="20.42578125" bestFit="1" customWidth="1"/>
    <col min="4" max="4" width="3.5703125" customWidth="1"/>
    <col min="5" max="12" width="16.7109375" customWidth="1"/>
    <col min="13" max="13" width="4.7109375" customWidth="1"/>
    <col min="14" max="14" width="32.140625" bestFit="1" customWidth="1"/>
    <col min="15" max="15" width="7.140625" bestFit="1" customWidth="1"/>
    <col min="16" max="16" width="15.5703125" customWidth="1"/>
    <col min="17" max="17" width="22.5703125" bestFit="1" customWidth="1"/>
    <col min="18" max="18" width="14.85546875" customWidth="1"/>
    <col min="19" max="19" width="5.140625" customWidth="1"/>
    <col min="20" max="20" width="20.42578125" bestFit="1" customWidth="1"/>
    <col min="21" max="21" width="15.5703125" bestFit="1" customWidth="1"/>
    <col min="22" max="22" width="4.28515625" customWidth="1"/>
    <col min="24" max="24" width="4.85546875" customWidth="1"/>
    <col min="25" max="25" width="15.5703125" bestFit="1" customWidth="1"/>
    <col min="26" max="26" width="4.28515625" customWidth="1"/>
    <col min="27" max="27" width="15.5703125" bestFit="1" customWidth="1"/>
    <col min="28" max="28" width="4.85546875" customWidth="1"/>
    <col min="29" max="29" width="11.85546875" bestFit="1" customWidth="1"/>
    <col min="30" max="30" width="4.140625" customWidth="1"/>
    <col min="31" max="31" width="16.28515625" bestFit="1" customWidth="1"/>
    <col min="32" max="32" width="4.42578125" customWidth="1"/>
    <col min="33" max="33" width="12.85546875" bestFit="1" customWidth="1"/>
    <col min="34" max="34" width="24" bestFit="1" customWidth="1"/>
    <col min="35" max="35" width="5" customWidth="1"/>
    <col min="36" max="36" width="18.7109375" bestFit="1" customWidth="1"/>
    <col min="37" max="37" width="7.7109375" bestFit="1" customWidth="1"/>
    <col min="38" max="38" width="5.5703125" customWidth="1"/>
    <col min="39" max="39" width="28.140625" bestFit="1" customWidth="1"/>
    <col min="40" max="40" width="18.7109375" customWidth="1"/>
    <col min="41" max="41" width="11.85546875" customWidth="1"/>
  </cols>
  <sheetData>
    <row r="1" spans="1:46" s="141" customFormat="1" ht="45" x14ac:dyDescent="0.25">
      <c r="A1" s="7" t="s">
        <v>102</v>
      </c>
      <c r="B1" s="7"/>
      <c r="C1" s="7" t="s">
        <v>137</v>
      </c>
      <c r="D1" s="7"/>
      <c r="E1" s="7" t="s">
        <v>30</v>
      </c>
      <c r="F1" s="7" t="s">
        <v>139</v>
      </c>
      <c r="G1" s="7" t="s">
        <v>28</v>
      </c>
      <c r="H1" s="7" t="s">
        <v>33</v>
      </c>
      <c r="I1" s="7" t="s">
        <v>35</v>
      </c>
      <c r="J1" s="7" t="s">
        <v>25</v>
      </c>
      <c r="K1" s="7" t="s">
        <v>23</v>
      </c>
      <c r="L1" s="7" t="s">
        <v>138</v>
      </c>
      <c r="N1" s="7" t="s">
        <v>1</v>
      </c>
      <c r="S1" s="7"/>
      <c r="T1" s="432" t="s">
        <v>154</v>
      </c>
      <c r="U1" s="432"/>
      <c r="V1" s="7"/>
      <c r="W1" s="7" t="s">
        <v>153</v>
      </c>
      <c r="X1" s="7"/>
      <c r="Y1" s="7" t="s">
        <v>144</v>
      </c>
      <c r="Z1" s="7"/>
      <c r="AA1" s="7" t="s">
        <v>145</v>
      </c>
      <c r="AB1" s="7"/>
      <c r="AC1" s="7" t="s">
        <v>98</v>
      </c>
      <c r="AD1" s="7"/>
      <c r="AE1" s="7" t="s">
        <v>127</v>
      </c>
      <c r="AF1" s="7"/>
      <c r="AG1" s="432" t="s">
        <v>163</v>
      </c>
      <c r="AH1" s="432"/>
      <c r="AI1" s="7"/>
      <c r="AJ1" s="7" t="s">
        <v>106</v>
      </c>
      <c r="AK1" s="7"/>
      <c r="AL1" s="7"/>
      <c r="AM1" s="7" t="s">
        <v>115</v>
      </c>
      <c r="AN1" s="7"/>
      <c r="AO1" s="7" t="s">
        <v>47</v>
      </c>
    </row>
    <row r="2" spans="1:46" x14ac:dyDescent="0.25">
      <c r="A2" s="2"/>
      <c r="B2" s="2"/>
      <c r="C2" s="2"/>
      <c r="D2" s="2"/>
      <c r="E2" s="2" t="s">
        <v>31</v>
      </c>
      <c r="F2" s="2" t="s">
        <v>32</v>
      </c>
      <c r="G2" s="2" t="s">
        <v>21</v>
      </c>
      <c r="H2" s="2" t="s">
        <v>34</v>
      </c>
      <c r="I2" s="2" t="s">
        <v>36</v>
      </c>
      <c r="J2" s="2" t="s">
        <v>26</v>
      </c>
      <c r="K2" s="2" t="s">
        <v>6</v>
      </c>
      <c r="L2" s="2" t="s">
        <v>128</v>
      </c>
      <c r="N2" s="2"/>
      <c r="O2" s="2" t="s">
        <v>2</v>
      </c>
      <c r="P2" s="7" t="s">
        <v>45</v>
      </c>
      <c r="Q2" s="7" t="s">
        <v>103</v>
      </c>
      <c r="R2" s="7" t="s">
        <v>10</v>
      </c>
      <c r="S2" s="7"/>
      <c r="T2" s="8"/>
      <c r="U2" s="8"/>
      <c r="V2" s="2"/>
      <c r="W2" s="2"/>
      <c r="X2" s="2"/>
      <c r="Y2" s="8"/>
      <c r="Z2" s="2"/>
      <c r="AA2" s="2"/>
      <c r="AB2" s="2"/>
      <c r="AC2" s="2"/>
      <c r="AD2" s="2"/>
      <c r="AE2" s="2"/>
      <c r="AF2" s="2"/>
      <c r="AG2" s="8"/>
      <c r="AH2" s="8"/>
      <c r="AI2" s="2"/>
      <c r="AJ2" s="2"/>
      <c r="AK2" s="2"/>
      <c r="AL2" s="2"/>
      <c r="AM2" s="2"/>
      <c r="AN2" s="2"/>
      <c r="AO2" s="6" t="s">
        <v>48</v>
      </c>
    </row>
    <row r="3" spans="1:46" x14ac:dyDescent="0.25">
      <c r="A3" t="s">
        <v>92</v>
      </c>
      <c r="C3" t="s">
        <v>93</v>
      </c>
      <c r="E3" t="s">
        <v>51</v>
      </c>
      <c r="F3" t="s">
        <v>63</v>
      </c>
      <c r="G3" t="s">
        <v>20</v>
      </c>
      <c r="H3" t="s">
        <v>56</v>
      </c>
      <c r="I3" t="s">
        <v>65</v>
      </c>
      <c r="J3" t="s">
        <v>50</v>
      </c>
      <c r="K3" t="s">
        <v>72</v>
      </c>
      <c r="L3" t="s">
        <v>60</v>
      </c>
      <c r="N3" t="s">
        <v>93</v>
      </c>
      <c r="P3" t="s">
        <v>129</v>
      </c>
      <c r="R3" t="s">
        <v>96</v>
      </c>
      <c r="T3" t="s">
        <v>22</v>
      </c>
      <c r="U3" t="s">
        <v>7</v>
      </c>
      <c r="V3" t="str">
        <f>T3</f>
        <v>Low Income</v>
      </c>
      <c r="W3" t="s">
        <v>95</v>
      </c>
      <c r="Y3" t="s">
        <v>149</v>
      </c>
      <c r="AA3" t="s">
        <v>146</v>
      </c>
      <c r="AC3" t="s">
        <v>41</v>
      </c>
      <c r="AE3" s="1" t="s">
        <v>155</v>
      </c>
      <c r="AG3" t="s">
        <v>107</v>
      </c>
      <c r="AJ3" t="s">
        <v>99</v>
      </c>
      <c r="AM3" t="s">
        <v>91</v>
      </c>
      <c r="AO3" s="6" t="s">
        <v>49</v>
      </c>
    </row>
    <row r="4" spans="1:46" x14ac:dyDescent="0.25">
      <c r="A4" t="s">
        <v>140</v>
      </c>
      <c r="C4" t="s">
        <v>70</v>
      </c>
      <c r="E4" t="s">
        <v>17</v>
      </c>
      <c r="G4" t="s">
        <v>55</v>
      </c>
      <c r="H4" t="s">
        <v>57</v>
      </c>
      <c r="J4" t="s">
        <v>9</v>
      </c>
      <c r="K4" t="s">
        <v>11</v>
      </c>
      <c r="L4" t="s">
        <v>77</v>
      </c>
      <c r="N4" t="s">
        <v>70</v>
      </c>
      <c r="P4" t="s">
        <v>4</v>
      </c>
      <c r="R4" t="s">
        <v>96</v>
      </c>
      <c r="T4" t="s">
        <v>24</v>
      </c>
      <c r="U4" t="s">
        <v>4</v>
      </c>
      <c r="V4" t="str">
        <f>T4</f>
        <v>Lower Middle Income</v>
      </c>
      <c r="W4" t="s">
        <v>97</v>
      </c>
      <c r="Y4" t="s">
        <v>150</v>
      </c>
      <c r="AA4" t="s">
        <v>147</v>
      </c>
      <c r="AC4" t="s">
        <v>42</v>
      </c>
      <c r="AE4" t="s">
        <v>142</v>
      </c>
      <c r="AG4" t="s">
        <v>79</v>
      </c>
      <c r="AJ4" t="s">
        <v>100</v>
      </c>
      <c r="AM4" t="s">
        <v>116</v>
      </c>
      <c r="AO4" s="6" t="s">
        <v>173</v>
      </c>
      <c r="AT4" s="9"/>
    </row>
    <row r="5" spans="1:46" x14ac:dyDescent="0.25">
      <c r="A5" t="s">
        <v>123</v>
      </c>
      <c r="C5" t="s">
        <v>105</v>
      </c>
      <c r="E5" t="s">
        <v>76</v>
      </c>
      <c r="H5" t="s">
        <v>68</v>
      </c>
      <c r="J5" t="s">
        <v>74</v>
      </c>
      <c r="K5" t="s">
        <v>53</v>
      </c>
      <c r="L5" t="s">
        <v>66</v>
      </c>
      <c r="N5" t="s">
        <v>105</v>
      </c>
      <c r="P5" t="s">
        <v>14</v>
      </c>
      <c r="R5" t="s">
        <v>96</v>
      </c>
      <c r="T5" t="s">
        <v>27</v>
      </c>
      <c r="U5" t="s">
        <v>14</v>
      </c>
      <c r="V5" t="str">
        <f>T5</f>
        <v>Upper Middle Income</v>
      </c>
      <c r="W5" t="s">
        <v>94</v>
      </c>
      <c r="Y5" t="s">
        <v>151</v>
      </c>
      <c r="AA5" t="s">
        <v>148</v>
      </c>
      <c r="AC5" t="s">
        <v>73</v>
      </c>
      <c r="AE5" t="s">
        <v>141</v>
      </c>
      <c r="AG5" t="s">
        <v>108</v>
      </c>
      <c r="AH5" t="s">
        <v>111</v>
      </c>
      <c r="AJ5" t="s">
        <v>101</v>
      </c>
      <c r="AM5" t="s">
        <v>117</v>
      </c>
      <c r="AO5" s="6"/>
    </row>
    <row r="6" spans="1:46" x14ac:dyDescent="0.25">
      <c r="C6" t="s">
        <v>104</v>
      </c>
      <c r="E6" t="s">
        <v>39</v>
      </c>
      <c r="H6" t="s">
        <v>38</v>
      </c>
      <c r="K6" t="s">
        <v>54</v>
      </c>
      <c r="L6" t="s">
        <v>61</v>
      </c>
      <c r="N6" t="s">
        <v>104</v>
      </c>
      <c r="P6" t="s">
        <v>8</v>
      </c>
      <c r="R6" t="s">
        <v>97</v>
      </c>
      <c r="T6" t="s">
        <v>29</v>
      </c>
      <c r="U6" t="s">
        <v>8</v>
      </c>
      <c r="V6" t="str">
        <f>T6</f>
        <v>High Income</v>
      </c>
      <c r="W6" t="s">
        <v>96</v>
      </c>
      <c r="Y6" t="s">
        <v>152</v>
      </c>
      <c r="AE6" t="s">
        <v>143</v>
      </c>
      <c r="AG6" t="s">
        <v>109</v>
      </c>
      <c r="AH6" t="s">
        <v>112</v>
      </c>
      <c r="AJ6" t="s">
        <v>110</v>
      </c>
      <c r="AM6" t="s">
        <v>118</v>
      </c>
    </row>
    <row r="7" spans="1:46" x14ac:dyDescent="0.25">
      <c r="E7" t="s">
        <v>16</v>
      </c>
      <c r="H7" t="s">
        <v>67</v>
      </c>
      <c r="K7" t="s">
        <v>71</v>
      </c>
      <c r="L7" t="s">
        <v>62</v>
      </c>
      <c r="AE7" s="1" t="s">
        <v>156</v>
      </c>
      <c r="AJ7" t="s">
        <v>113</v>
      </c>
      <c r="AK7" t="s">
        <v>114</v>
      </c>
      <c r="AM7" t="s">
        <v>87</v>
      </c>
    </row>
    <row r="8" spans="1:46" x14ac:dyDescent="0.25">
      <c r="E8" t="s">
        <v>52</v>
      </c>
      <c r="H8" t="s">
        <v>199</v>
      </c>
      <c r="K8" t="s">
        <v>13</v>
      </c>
      <c r="N8" t="s">
        <v>31</v>
      </c>
      <c r="P8" t="s">
        <v>4</v>
      </c>
      <c r="R8" t="s">
        <v>95</v>
      </c>
      <c r="T8" s="1"/>
      <c r="AM8" t="s">
        <v>119</v>
      </c>
    </row>
    <row r="9" spans="1:46" x14ac:dyDescent="0.25">
      <c r="E9" t="s">
        <v>19</v>
      </c>
      <c r="H9" t="s">
        <v>58</v>
      </c>
      <c r="K9" t="s">
        <v>15</v>
      </c>
      <c r="N9" t="s">
        <v>51</v>
      </c>
      <c r="O9" t="s">
        <v>31</v>
      </c>
      <c r="P9" t="s">
        <v>4</v>
      </c>
      <c r="Q9" t="s">
        <v>70</v>
      </c>
      <c r="R9" t="s">
        <v>95</v>
      </c>
      <c r="AM9" t="s">
        <v>120</v>
      </c>
    </row>
    <row r="10" spans="1:46" x14ac:dyDescent="0.25">
      <c r="E10" t="s">
        <v>75</v>
      </c>
      <c r="H10" t="s">
        <v>59</v>
      </c>
      <c r="K10" t="s">
        <v>64</v>
      </c>
      <c r="N10" t="s">
        <v>17</v>
      </c>
      <c r="O10" t="s">
        <v>31</v>
      </c>
      <c r="P10" t="s">
        <v>4</v>
      </c>
      <c r="Q10" t="s">
        <v>70</v>
      </c>
      <c r="R10" t="s">
        <v>95</v>
      </c>
      <c r="AM10" t="s">
        <v>121</v>
      </c>
    </row>
    <row r="11" spans="1:46" x14ac:dyDescent="0.25">
      <c r="E11" t="s">
        <v>40</v>
      </c>
      <c r="H11" t="s">
        <v>37</v>
      </c>
      <c r="K11" t="s">
        <v>5</v>
      </c>
      <c r="N11" t="s">
        <v>76</v>
      </c>
      <c r="O11" t="s">
        <v>31</v>
      </c>
      <c r="P11" t="s">
        <v>14</v>
      </c>
      <c r="Q11" t="s">
        <v>105</v>
      </c>
      <c r="R11" t="s">
        <v>96</v>
      </c>
      <c r="AM11" t="s">
        <v>92</v>
      </c>
      <c r="AN11" t="s">
        <v>124</v>
      </c>
    </row>
    <row r="12" spans="1:46" x14ac:dyDescent="0.25">
      <c r="E12" t="s">
        <v>18</v>
      </c>
      <c r="N12" t="s">
        <v>39</v>
      </c>
      <c r="O12" t="s">
        <v>31</v>
      </c>
      <c r="P12" t="s">
        <v>14</v>
      </c>
      <c r="R12" t="s">
        <v>95</v>
      </c>
      <c r="AM12" t="s">
        <v>78</v>
      </c>
      <c r="AN12" t="s">
        <v>125</v>
      </c>
    </row>
    <row r="13" spans="1:46" x14ac:dyDescent="0.25">
      <c r="N13" t="s">
        <v>16</v>
      </c>
      <c r="O13" t="s">
        <v>31</v>
      </c>
      <c r="P13" t="s">
        <v>4</v>
      </c>
      <c r="Q13" t="s">
        <v>70</v>
      </c>
      <c r="R13" t="s">
        <v>95</v>
      </c>
      <c r="AM13" t="s">
        <v>126</v>
      </c>
    </row>
    <row r="14" spans="1:46" x14ac:dyDescent="0.25">
      <c r="E14" t="str">
        <f t="shared" ref="E14:L14" si="0">E1</f>
        <v>East Asia &amp; Pacific</v>
      </c>
      <c r="F14" t="str">
        <f t="shared" si="0"/>
        <v>Eastern Europe &amp; Central Asia</v>
      </c>
      <c r="G14" t="str">
        <f t="shared" si="0"/>
        <v>Latin America &amp; Caribbean</v>
      </c>
      <c r="H14" t="str">
        <f t="shared" si="0"/>
        <v>Middle East &amp; North Africa</v>
      </c>
      <c r="I14" t="str">
        <f t="shared" si="0"/>
        <v>North America</v>
      </c>
      <c r="J14" t="str">
        <f t="shared" si="0"/>
        <v>South Asia</v>
      </c>
      <c r="K14" t="str">
        <f t="shared" si="0"/>
        <v>Sub-Saharan Africa</v>
      </c>
      <c r="L14" t="str">
        <f t="shared" si="0"/>
        <v>West &amp; Central Europe</v>
      </c>
      <c r="N14" t="s">
        <v>52</v>
      </c>
      <c r="O14" t="s">
        <v>31</v>
      </c>
      <c r="P14" t="s">
        <v>4</v>
      </c>
      <c r="Q14" t="s">
        <v>70</v>
      </c>
      <c r="R14" t="s">
        <v>95</v>
      </c>
      <c r="AM14" t="s">
        <v>122</v>
      </c>
    </row>
    <row r="15" spans="1:46" x14ac:dyDescent="0.25">
      <c r="N15" t="s">
        <v>19</v>
      </c>
      <c r="O15" t="s">
        <v>31</v>
      </c>
      <c r="P15" t="s">
        <v>4</v>
      </c>
      <c r="Q15" t="s">
        <v>70</v>
      </c>
      <c r="R15" t="s">
        <v>95</v>
      </c>
      <c r="AM15" t="s">
        <v>123</v>
      </c>
    </row>
    <row r="16" spans="1:46" x14ac:dyDescent="0.25">
      <c r="E16" s="10"/>
      <c r="F16" s="10"/>
      <c r="N16" t="s">
        <v>75</v>
      </c>
      <c r="O16" t="s">
        <v>31</v>
      </c>
      <c r="P16" t="s">
        <v>8</v>
      </c>
      <c r="Q16" t="s">
        <v>104</v>
      </c>
      <c r="R16" t="s">
        <v>97</v>
      </c>
      <c r="AM16" t="s">
        <v>69</v>
      </c>
    </row>
    <row r="17" spans="14:18" x14ac:dyDescent="0.25">
      <c r="N17" t="s">
        <v>40</v>
      </c>
      <c r="O17" t="s">
        <v>31</v>
      </c>
      <c r="P17" t="s">
        <v>14</v>
      </c>
      <c r="Q17" t="s">
        <v>105</v>
      </c>
      <c r="R17" t="s">
        <v>95</v>
      </c>
    </row>
    <row r="18" spans="14:18" x14ac:dyDescent="0.25">
      <c r="N18" t="s">
        <v>18</v>
      </c>
      <c r="O18" t="s">
        <v>31</v>
      </c>
      <c r="P18" t="s">
        <v>4</v>
      </c>
      <c r="Q18" t="s">
        <v>70</v>
      </c>
      <c r="R18" t="s">
        <v>95</v>
      </c>
    </row>
    <row r="20" spans="14:18" x14ac:dyDescent="0.25">
      <c r="N20" t="s">
        <v>32</v>
      </c>
      <c r="P20" t="s">
        <v>14</v>
      </c>
      <c r="R20" t="s">
        <v>97</v>
      </c>
    </row>
    <row r="21" spans="14:18" x14ac:dyDescent="0.25">
      <c r="N21" t="s">
        <v>63</v>
      </c>
      <c r="O21" t="s">
        <v>32</v>
      </c>
      <c r="P21" t="s">
        <v>14</v>
      </c>
      <c r="Q21" t="s">
        <v>104</v>
      </c>
      <c r="R21" t="s">
        <v>97</v>
      </c>
    </row>
    <row r="23" spans="14:18" x14ac:dyDescent="0.25">
      <c r="N23" t="s">
        <v>21</v>
      </c>
      <c r="P23" t="s">
        <v>14</v>
      </c>
      <c r="R23" t="s">
        <v>96</v>
      </c>
    </row>
    <row r="24" spans="14:18" x14ac:dyDescent="0.25">
      <c r="N24" t="s">
        <v>20</v>
      </c>
      <c r="O24" t="s">
        <v>21</v>
      </c>
      <c r="P24" t="s">
        <v>14</v>
      </c>
      <c r="Q24" t="s">
        <v>105</v>
      </c>
      <c r="R24" t="s">
        <v>95</v>
      </c>
    </row>
    <row r="25" spans="14:18" x14ac:dyDescent="0.25">
      <c r="N25" t="s">
        <v>55</v>
      </c>
      <c r="O25" t="s">
        <v>21</v>
      </c>
      <c r="P25" t="s">
        <v>14</v>
      </c>
      <c r="Q25" t="s">
        <v>105</v>
      </c>
      <c r="R25" t="s">
        <v>96</v>
      </c>
    </row>
    <row r="27" spans="14:18" x14ac:dyDescent="0.25">
      <c r="N27" t="s">
        <v>34</v>
      </c>
      <c r="P27" t="s">
        <v>14</v>
      </c>
      <c r="R27" t="s">
        <v>94</v>
      </c>
    </row>
    <row r="28" spans="14:18" x14ac:dyDescent="0.25">
      <c r="N28" t="s">
        <v>56</v>
      </c>
      <c r="O28" t="s">
        <v>34</v>
      </c>
      <c r="P28" t="s">
        <v>14</v>
      </c>
      <c r="Q28" t="s">
        <v>70</v>
      </c>
      <c r="R28" t="s">
        <v>94</v>
      </c>
    </row>
    <row r="29" spans="14:18" x14ac:dyDescent="0.25">
      <c r="N29" t="s">
        <v>57</v>
      </c>
      <c r="O29" t="s">
        <v>34</v>
      </c>
      <c r="P29" t="s">
        <v>14</v>
      </c>
      <c r="Q29" t="s">
        <v>105</v>
      </c>
      <c r="R29" t="s">
        <v>94</v>
      </c>
    </row>
    <row r="30" spans="14:18" x14ac:dyDescent="0.25">
      <c r="N30" t="s">
        <v>68</v>
      </c>
      <c r="O30" t="s">
        <v>34</v>
      </c>
      <c r="P30" t="s">
        <v>14</v>
      </c>
      <c r="Q30" t="s">
        <v>70</v>
      </c>
      <c r="R30" t="s">
        <v>94</v>
      </c>
    </row>
    <row r="31" spans="14:18" x14ac:dyDescent="0.25">
      <c r="N31" t="s">
        <v>38</v>
      </c>
      <c r="O31" t="s">
        <v>34</v>
      </c>
      <c r="P31" t="s">
        <v>14</v>
      </c>
      <c r="Q31" t="s">
        <v>70</v>
      </c>
      <c r="R31" t="s">
        <v>94</v>
      </c>
    </row>
    <row r="32" spans="14:18" x14ac:dyDescent="0.25">
      <c r="N32" t="s">
        <v>67</v>
      </c>
      <c r="O32" t="s">
        <v>34</v>
      </c>
      <c r="P32" t="s">
        <v>4</v>
      </c>
      <c r="Q32" t="s">
        <v>70</v>
      </c>
      <c r="R32" t="s">
        <v>94</v>
      </c>
    </row>
    <row r="33" spans="14:18" x14ac:dyDescent="0.25">
      <c r="N33" t="s">
        <v>199</v>
      </c>
      <c r="O33" t="s">
        <v>34</v>
      </c>
      <c r="P33" t="s">
        <v>7</v>
      </c>
      <c r="Q33" t="s">
        <v>70</v>
      </c>
      <c r="R33" t="s">
        <v>94</v>
      </c>
    </row>
    <row r="34" spans="14:18" x14ac:dyDescent="0.25">
      <c r="N34" t="s">
        <v>58</v>
      </c>
      <c r="O34" t="s">
        <v>34</v>
      </c>
      <c r="P34" t="s">
        <v>4</v>
      </c>
      <c r="Q34" t="s">
        <v>70</v>
      </c>
      <c r="R34" t="s">
        <v>94</v>
      </c>
    </row>
    <row r="35" spans="14:18" x14ac:dyDescent="0.25">
      <c r="N35" t="s">
        <v>59</v>
      </c>
      <c r="O35" t="s">
        <v>34</v>
      </c>
      <c r="P35" t="s">
        <v>4</v>
      </c>
      <c r="Q35" t="s">
        <v>70</v>
      </c>
      <c r="R35" t="s">
        <v>94</v>
      </c>
    </row>
    <row r="36" spans="14:18" x14ac:dyDescent="0.25">
      <c r="N36" t="s">
        <v>37</v>
      </c>
      <c r="O36" t="s">
        <v>34</v>
      </c>
      <c r="P36" t="s">
        <v>4</v>
      </c>
      <c r="Q36" t="s">
        <v>70</v>
      </c>
      <c r="R36" t="s">
        <v>94</v>
      </c>
    </row>
    <row r="38" spans="14:18" x14ac:dyDescent="0.25">
      <c r="N38" t="s">
        <v>36</v>
      </c>
      <c r="P38" t="s">
        <v>8</v>
      </c>
      <c r="R38" t="s">
        <v>97</v>
      </c>
    </row>
    <row r="39" spans="14:18" x14ac:dyDescent="0.25">
      <c r="N39" t="s">
        <v>65</v>
      </c>
      <c r="O39" t="s">
        <v>36</v>
      </c>
      <c r="P39" t="s">
        <v>8</v>
      </c>
      <c r="Q39" t="s">
        <v>104</v>
      </c>
      <c r="R39" t="s">
        <v>97</v>
      </c>
    </row>
    <row r="41" spans="14:18" x14ac:dyDescent="0.25">
      <c r="N41" t="s">
        <v>26</v>
      </c>
      <c r="P41" t="s">
        <v>4</v>
      </c>
      <c r="R41" t="s">
        <v>96</v>
      </c>
    </row>
    <row r="42" spans="14:18" x14ac:dyDescent="0.25">
      <c r="N42" t="s">
        <v>50</v>
      </c>
      <c r="O42" t="s">
        <v>26</v>
      </c>
      <c r="P42" t="s">
        <v>7</v>
      </c>
      <c r="Q42" t="s">
        <v>70</v>
      </c>
      <c r="R42" t="s">
        <v>94</v>
      </c>
    </row>
    <row r="43" spans="14:18" x14ac:dyDescent="0.25">
      <c r="N43" t="s">
        <v>9</v>
      </c>
      <c r="O43" t="s">
        <v>26</v>
      </c>
      <c r="P43" t="s">
        <v>4</v>
      </c>
      <c r="Q43" t="s">
        <v>105</v>
      </c>
      <c r="R43" t="s">
        <v>96</v>
      </c>
    </row>
    <row r="44" spans="14:18" x14ac:dyDescent="0.25">
      <c r="N44" t="s">
        <v>74</v>
      </c>
      <c r="O44" t="s">
        <v>26</v>
      </c>
      <c r="P44" t="s">
        <v>4</v>
      </c>
      <c r="Q44" t="s">
        <v>70</v>
      </c>
      <c r="R44" t="s">
        <v>94</v>
      </c>
    </row>
    <row r="46" spans="14:18" x14ac:dyDescent="0.25">
      <c r="N46" t="s">
        <v>6</v>
      </c>
      <c r="P46" t="s">
        <v>4</v>
      </c>
      <c r="R46" t="s">
        <v>96</v>
      </c>
    </row>
    <row r="47" spans="14:18" x14ac:dyDescent="0.25">
      <c r="N47" t="s">
        <v>72</v>
      </c>
      <c r="O47" t="s">
        <v>6</v>
      </c>
      <c r="P47" t="s">
        <v>14</v>
      </c>
      <c r="Q47" t="s">
        <v>70</v>
      </c>
      <c r="R47" t="s">
        <v>94</v>
      </c>
    </row>
    <row r="48" spans="14:18" x14ac:dyDescent="0.25">
      <c r="N48" t="s">
        <v>11</v>
      </c>
      <c r="O48" t="s">
        <v>6</v>
      </c>
      <c r="P48" t="s">
        <v>4</v>
      </c>
      <c r="Q48" t="s">
        <v>70</v>
      </c>
      <c r="R48" t="s">
        <v>94</v>
      </c>
    </row>
    <row r="49" spans="14:18" x14ac:dyDescent="0.25">
      <c r="N49" t="s">
        <v>53</v>
      </c>
      <c r="O49" t="s">
        <v>6</v>
      </c>
      <c r="P49" t="s">
        <v>4</v>
      </c>
      <c r="Q49" t="s">
        <v>70</v>
      </c>
      <c r="R49" t="s">
        <v>97</v>
      </c>
    </row>
    <row r="50" spans="14:18" x14ac:dyDescent="0.25">
      <c r="N50" t="s">
        <v>54</v>
      </c>
      <c r="O50" t="s">
        <v>6</v>
      </c>
      <c r="P50" t="s">
        <v>7</v>
      </c>
      <c r="Q50" t="s">
        <v>70</v>
      </c>
      <c r="R50" t="s">
        <v>94</v>
      </c>
    </row>
    <row r="51" spans="14:18" x14ac:dyDescent="0.25">
      <c r="N51" t="s">
        <v>71</v>
      </c>
      <c r="O51" t="s">
        <v>6</v>
      </c>
      <c r="P51" t="s">
        <v>4</v>
      </c>
      <c r="Q51" t="s">
        <v>70</v>
      </c>
      <c r="R51" t="s">
        <v>95</v>
      </c>
    </row>
    <row r="52" spans="14:18" x14ac:dyDescent="0.25">
      <c r="N52" t="s">
        <v>13</v>
      </c>
      <c r="O52" t="s">
        <v>6</v>
      </c>
      <c r="P52" t="s">
        <v>14</v>
      </c>
      <c r="Q52" t="s">
        <v>105</v>
      </c>
      <c r="R52" t="s">
        <v>97</v>
      </c>
    </row>
    <row r="53" spans="14:18" x14ac:dyDescent="0.25">
      <c r="N53" t="s">
        <v>15</v>
      </c>
      <c r="O53" t="s">
        <v>6</v>
      </c>
      <c r="P53" t="s">
        <v>7</v>
      </c>
      <c r="Q53" t="s">
        <v>70</v>
      </c>
      <c r="R53" t="s">
        <v>95</v>
      </c>
    </row>
    <row r="54" spans="14:18" x14ac:dyDescent="0.25">
      <c r="N54" t="s">
        <v>64</v>
      </c>
      <c r="O54" t="s">
        <v>6</v>
      </c>
      <c r="P54" t="s">
        <v>7</v>
      </c>
      <c r="Q54" t="s">
        <v>70</v>
      </c>
      <c r="R54" t="s">
        <v>95</v>
      </c>
    </row>
    <row r="55" spans="14:18" x14ac:dyDescent="0.25">
      <c r="N55" t="s">
        <v>5</v>
      </c>
      <c r="O55" t="s">
        <v>6</v>
      </c>
      <c r="P55" t="s">
        <v>4</v>
      </c>
      <c r="Q55" t="s">
        <v>70</v>
      </c>
      <c r="R55" t="s">
        <v>97</v>
      </c>
    </row>
    <row r="57" spans="14:18" x14ac:dyDescent="0.25">
      <c r="N57" t="s">
        <v>128</v>
      </c>
      <c r="P57" t="s">
        <v>8</v>
      </c>
      <c r="R57" t="s">
        <v>97</v>
      </c>
    </row>
    <row r="58" spans="14:18" x14ac:dyDescent="0.25">
      <c r="N58" t="s">
        <v>60</v>
      </c>
      <c r="O58" t="s">
        <v>128</v>
      </c>
      <c r="P58" t="s">
        <v>8</v>
      </c>
      <c r="Q58" t="s">
        <v>104</v>
      </c>
      <c r="R58" t="s">
        <v>97</v>
      </c>
    </row>
    <row r="59" spans="14:18" x14ac:dyDescent="0.25">
      <c r="N59" t="s">
        <v>77</v>
      </c>
      <c r="O59" t="s">
        <v>128</v>
      </c>
      <c r="P59" t="s">
        <v>8</v>
      </c>
      <c r="Q59" t="s">
        <v>104</v>
      </c>
      <c r="R59" t="s">
        <v>97</v>
      </c>
    </row>
    <row r="60" spans="14:18" x14ac:dyDescent="0.25">
      <c r="N60" t="s">
        <v>66</v>
      </c>
      <c r="O60" t="s">
        <v>128</v>
      </c>
      <c r="P60" t="s">
        <v>8</v>
      </c>
      <c r="Q60" t="s">
        <v>104</v>
      </c>
      <c r="R60" t="s">
        <v>97</v>
      </c>
    </row>
    <row r="61" spans="14:18" x14ac:dyDescent="0.25">
      <c r="N61" t="s">
        <v>61</v>
      </c>
      <c r="O61" t="s">
        <v>128</v>
      </c>
      <c r="P61" t="s">
        <v>8</v>
      </c>
      <c r="Q61" t="s">
        <v>104</v>
      </c>
      <c r="R61" t="s">
        <v>97</v>
      </c>
    </row>
    <row r="62" spans="14:18" x14ac:dyDescent="0.25">
      <c r="N62" t="s">
        <v>62</v>
      </c>
      <c r="O62" t="s">
        <v>128</v>
      </c>
      <c r="P62" t="s">
        <v>8</v>
      </c>
      <c r="Q62" t="s">
        <v>104</v>
      </c>
      <c r="R62" t="s">
        <v>97</v>
      </c>
    </row>
    <row r="64" spans="14:18" ht="15.75" thickBot="1" x14ac:dyDescent="0.3"/>
    <row r="65" spans="14:14" ht="15.75" thickBot="1" x14ac:dyDescent="0.3">
      <c r="N65" s="11" t="s">
        <v>161</v>
      </c>
    </row>
    <row r="66" spans="14:14" x14ac:dyDescent="0.25">
      <c r="N66" s="5" t="s">
        <v>50</v>
      </c>
    </row>
    <row r="67" spans="14:14" x14ac:dyDescent="0.25">
      <c r="N67" s="3" t="s">
        <v>56</v>
      </c>
    </row>
    <row r="68" spans="14:14" x14ac:dyDescent="0.25">
      <c r="N68" s="3" t="s">
        <v>51</v>
      </c>
    </row>
    <row r="69" spans="14:14" x14ac:dyDescent="0.25">
      <c r="N69" s="3" t="s">
        <v>72</v>
      </c>
    </row>
    <row r="70" spans="14:14" x14ac:dyDescent="0.25">
      <c r="N70" s="3" t="s">
        <v>20</v>
      </c>
    </row>
    <row r="71" spans="14:14" x14ac:dyDescent="0.25">
      <c r="N71" s="3" t="s">
        <v>17</v>
      </c>
    </row>
    <row r="72" spans="14:14" x14ac:dyDescent="0.25">
      <c r="N72" s="3" t="s">
        <v>76</v>
      </c>
    </row>
    <row r="73" spans="14:14" x14ac:dyDescent="0.25">
      <c r="N73" s="3" t="s">
        <v>57</v>
      </c>
    </row>
    <row r="74" spans="14:14" x14ac:dyDescent="0.25">
      <c r="N74" s="3" t="s">
        <v>39</v>
      </c>
    </row>
    <row r="75" spans="14:14" x14ac:dyDescent="0.25">
      <c r="N75" s="3" t="s">
        <v>9</v>
      </c>
    </row>
    <row r="76" spans="14:14" x14ac:dyDescent="0.25">
      <c r="N76" s="3" t="s">
        <v>16</v>
      </c>
    </row>
    <row r="77" spans="14:14" x14ac:dyDescent="0.25">
      <c r="N77" s="3" t="s">
        <v>68</v>
      </c>
    </row>
    <row r="78" spans="14:14" x14ac:dyDescent="0.25">
      <c r="N78" s="3" t="s">
        <v>38</v>
      </c>
    </row>
    <row r="79" spans="14:14" x14ac:dyDescent="0.25">
      <c r="N79" s="3" t="s">
        <v>11</v>
      </c>
    </row>
    <row r="80" spans="14:14" x14ac:dyDescent="0.25">
      <c r="N80" s="3" t="s">
        <v>52</v>
      </c>
    </row>
    <row r="81" spans="14:14" x14ac:dyDescent="0.25">
      <c r="N81" s="3" t="s">
        <v>53</v>
      </c>
    </row>
    <row r="82" spans="14:14" x14ac:dyDescent="0.25">
      <c r="N82" s="3" t="s">
        <v>54</v>
      </c>
    </row>
    <row r="83" spans="14:14" x14ac:dyDescent="0.25">
      <c r="N83" s="3" t="s">
        <v>55</v>
      </c>
    </row>
    <row r="84" spans="14:14" x14ac:dyDescent="0.25">
      <c r="N84" s="3" t="s">
        <v>67</v>
      </c>
    </row>
    <row r="85" spans="14:14" x14ac:dyDescent="0.25">
      <c r="N85" s="3" t="s">
        <v>71</v>
      </c>
    </row>
    <row r="86" spans="14:14" x14ac:dyDescent="0.25">
      <c r="N86" s="3" t="s">
        <v>74</v>
      </c>
    </row>
    <row r="87" spans="14:14" x14ac:dyDescent="0.25">
      <c r="N87" s="3" t="s">
        <v>19</v>
      </c>
    </row>
    <row r="88" spans="14:14" x14ac:dyDescent="0.25">
      <c r="N88" s="3" t="s">
        <v>13</v>
      </c>
    </row>
    <row r="89" spans="14:14" x14ac:dyDescent="0.25">
      <c r="N89" s="3" t="s">
        <v>75</v>
      </c>
    </row>
    <row r="90" spans="14:14" x14ac:dyDescent="0.25">
      <c r="N90" s="3" t="s">
        <v>58</v>
      </c>
    </row>
    <row r="91" spans="14:14" x14ac:dyDescent="0.25">
      <c r="N91" s="3" t="s">
        <v>15</v>
      </c>
    </row>
    <row r="92" spans="14:14" x14ac:dyDescent="0.25">
      <c r="N92" s="3" t="s">
        <v>40</v>
      </c>
    </row>
    <row r="93" spans="14:14" x14ac:dyDescent="0.25">
      <c r="N93" s="3" t="s">
        <v>59</v>
      </c>
    </row>
    <row r="94" spans="14:14" x14ac:dyDescent="0.25">
      <c r="N94" s="3" t="s">
        <v>63</v>
      </c>
    </row>
    <row r="95" spans="14:14" x14ac:dyDescent="0.25">
      <c r="N95" s="3" t="s">
        <v>64</v>
      </c>
    </row>
    <row r="96" spans="14:14" x14ac:dyDescent="0.25">
      <c r="N96" s="3" t="s">
        <v>18</v>
      </c>
    </row>
    <row r="97" spans="14:14" x14ac:dyDescent="0.25">
      <c r="N97" s="3" t="s">
        <v>37</v>
      </c>
    </row>
    <row r="98" spans="14:14" ht="15.75" thickBot="1" x14ac:dyDescent="0.3">
      <c r="N98" s="4" t="s">
        <v>5</v>
      </c>
    </row>
  </sheetData>
  <mergeCells count="2">
    <mergeCell ref="AG1:AH1"/>
    <mergeCell ref="T1:U1"/>
  </mergeCells>
  <dataValidations count="1">
    <dataValidation type="list" allowBlank="1" showInputMessage="1" showErrorMessage="1" sqref="Q2:Q1048576">
      <formula1>$C$4:$C$6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 Database - output</vt:lpstr>
      <vt:lpstr>4. Design parameter - UI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2018-02-04T21:36:33Z</dcterms:modified>
</cp:coreProperties>
</file>