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155" firstSheet="2" activeTab="2"/>
  </bookViews>
  <sheets>
    <sheet name="Bill 1 RBBT" sheetId="29" r:id="rId1"/>
    <sheet name="Bill 2 ST" sheetId="30" r:id="rId2"/>
    <sheet name="Bill 3 ABR" sheetId="31" r:id="rId3"/>
    <sheet name="Bill 4 VFCW " sheetId="32" r:id="rId4"/>
    <sheet name="Bill 5 SDB" sheetId="34" r:id="rId5"/>
    <sheet name="Bill 6 CA" sheetId="33" r:id="rId6"/>
    <sheet name="Bill 7 SWI" sheetId="43" r:id="rId7"/>
    <sheet name="Bill 8 OS" sheetId="35" r:id="rId8"/>
    <sheet name="Bill 9 Site &amp; AW" sheetId="23" r:id="rId9"/>
    <sheet name="SUMMARY" sheetId="11" r:id="rId10"/>
  </sheets>
  <definedNames>
    <definedName name="_xlnm.Print_Area" localSheetId="0">'Bill 1 RBBT'!$A$1:$K$168</definedName>
    <definedName name="_xlnm.Print_Area" localSheetId="1">'Bill 2 ST'!$A$1:$K$143</definedName>
    <definedName name="_xlnm.Print_Area" localSheetId="2">'Bill 3 ABR'!$A$1:$K$158</definedName>
    <definedName name="_xlnm.Print_Area" localSheetId="3">'Bill 4 VFCW '!$A$1:$K$158</definedName>
    <definedName name="_xlnm.Print_Area" localSheetId="4">'Bill 5 SDB'!$A$1:$K$114</definedName>
    <definedName name="_xlnm.Print_Area" localSheetId="5">'Bill 6 CA'!$A$1:$K$156</definedName>
    <definedName name="_xlnm.Print_Area" localSheetId="6">'Bill 7 SWI'!$A$1:$K$172</definedName>
    <definedName name="_xlnm.Print_Area" localSheetId="7">'Bill 8 OS'!$A$1:$K$233</definedName>
    <definedName name="_xlnm.Print_Area" localSheetId="8">'Bill 9 Site &amp; AW'!$A$1:$K$88</definedName>
    <definedName name="_xlnm.Print_Area" localSheetId="9">SUMMARY!$A$1:$C$23</definedName>
    <definedName name="_xlnm.Print_Titles" localSheetId="0">'Bill 1 RBBT'!$2:$3</definedName>
    <definedName name="_xlnm.Print_Titles" localSheetId="1">'Bill 2 ST'!$2:$3</definedName>
    <definedName name="_xlnm.Print_Titles" localSheetId="2">'Bill 3 ABR'!$2:$3</definedName>
    <definedName name="_xlnm.Print_Titles" localSheetId="3">'Bill 4 VFCW '!$2:$3</definedName>
    <definedName name="_xlnm.Print_Titles" localSheetId="4">'Bill 5 SDB'!$2:$3</definedName>
    <definedName name="_xlnm.Print_Titles" localSheetId="5">'Bill 6 CA'!$2:$3</definedName>
    <definedName name="_xlnm.Print_Titles" localSheetId="6">'Bill 7 SWI'!$2:$3</definedName>
    <definedName name="_xlnm.Print_Titles" localSheetId="7">'Bill 8 OS'!$2:$3</definedName>
  </definedNames>
  <calcPr calcId="152511"/>
</workbook>
</file>

<file path=xl/calcChain.xml><?xml version="1.0" encoding="utf-8"?>
<calcChain xmlns="http://schemas.openxmlformats.org/spreadsheetml/2006/main">
  <c r="K112" i="34" l="1"/>
  <c r="I63" i="43" l="1"/>
  <c r="K63" i="43" s="1"/>
  <c r="I49" i="43"/>
  <c r="K49" i="43" s="1"/>
  <c r="K145" i="31" l="1"/>
  <c r="K147" i="31"/>
  <c r="K155" i="31" s="1"/>
  <c r="K119" i="30"/>
  <c r="K135" i="29"/>
  <c r="K147" i="29" s="1"/>
  <c r="D77" i="29"/>
  <c r="I77" i="29"/>
  <c r="I67" i="29"/>
  <c r="I53" i="29"/>
  <c r="I47" i="29"/>
  <c r="I45" i="29"/>
  <c r="I43" i="29"/>
  <c r="I39" i="29"/>
  <c r="I31" i="29"/>
  <c r="I21" i="29"/>
  <c r="I19" i="29"/>
  <c r="I17" i="29"/>
  <c r="E17" i="29"/>
  <c r="D18" i="29"/>
  <c r="D17" i="29"/>
  <c r="D12" i="29"/>
  <c r="D11" i="29"/>
  <c r="I11" i="29"/>
  <c r="E11" i="29"/>
  <c r="K163" i="29"/>
  <c r="K157" i="29"/>
  <c r="K119" i="29"/>
  <c r="K83" i="29"/>
  <c r="K138" i="30"/>
  <c r="K131" i="30"/>
  <c r="K140" i="30" s="1"/>
  <c r="K106" i="30"/>
  <c r="K74" i="30"/>
  <c r="K60" i="30"/>
  <c r="K34" i="30"/>
  <c r="K153" i="31"/>
  <c r="K107" i="31"/>
  <c r="K75" i="31"/>
  <c r="K61" i="31"/>
  <c r="K35" i="31"/>
  <c r="K77" i="32"/>
  <c r="K63" i="32"/>
  <c r="K37" i="32"/>
  <c r="K111" i="34"/>
  <c r="K109" i="34"/>
  <c r="K103" i="34"/>
  <c r="K83" i="34"/>
  <c r="K59" i="34"/>
  <c r="K45" i="34"/>
  <c r="K31" i="34"/>
  <c r="K153" i="33"/>
  <c r="K151" i="33"/>
  <c r="K139" i="33"/>
  <c r="K133" i="33"/>
  <c r="K117" i="33"/>
  <c r="K103" i="33"/>
  <c r="K85" i="33"/>
  <c r="K69" i="33"/>
  <c r="K31" i="33"/>
  <c r="K230" i="35"/>
  <c r="K228" i="35"/>
  <c r="K222" i="35"/>
  <c r="K216" i="35"/>
  <c r="K210" i="35"/>
  <c r="K180" i="35"/>
  <c r="K147" i="35"/>
  <c r="K119" i="35"/>
  <c r="K93" i="35"/>
  <c r="K76" i="35"/>
  <c r="K54" i="35"/>
  <c r="K31" i="35"/>
  <c r="K85" i="23"/>
  <c r="K83" i="23"/>
  <c r="K75" i="23"/>
  <c r="K69" i="23"/>
  <c r="K47" i="23"/>
  <c r="K39" i="23"/>
  <c r="K29" i="23"/>
  <c r="K125" i="35" l="1"/>
  <c r="K137" i="33"/>
  <c r="K99" i="33"/>
  <c r="K57" i="34"/>
  <c r="K53" i="34"/>
  <c r="I39" i="34"/>
  <c r="I37" i="34"/>
  <c r="I75" i="32"/>
  <c r="K75" i="32"/>
  <c r="I49" i="32"/>
  <c r="I43" i="32"/>
  <c r="I47" i="32"/>
  <c r="I53" i="32" s="1"/>
  <c r="I47" i="31"/>
  <c r="I33" i="31"/>
  <c r="I41" i="31"/>
  <c r="I33" i="32"/>
  <c r="K33" i="32" s="1"/>
  <c r="I35" i="32"/>
  <c r="I71" i="32"/>
  <c r="K71" i="32" s="1"/>
  <c r="K153" i="32"/>
  <c r="K121" i="31"/>
  <c r="K161" i="29"/>
  <c r="K143" i="31"/>
  <c r="I147" i="32"/>
  <c r="K147" i="32" s="1"/>
  <c r="I145" i="32"/>
  <c r="I139" i="32"/>
  <c r="K123" i="32"/>
  <c r="K121" i="32"/>
  <c r="K119" i="32"/>
  <c r="K117" i="32"/>
  <c r="K115" i="32"/>
  <c r="K113" i="32"/>
  <c r="K111" i="32"/>
  <c r="K103" i="32"/>
  <c r="K107" i="32"/>
  <c r="I97" i="32"/>
  <c r="K97" i="32" s="1"/>
  <c r="I91" i="32"/>
  <c r="I95" i="32" s="1"/>
  <c r="K95" i="32" s="1"/>
  <c r="I89" i="32"/>
  <c r="I93" i="32" s="1"/>
  <c r="K93" i="32" s="1"/>
  <c r="I87" i="32"/>
  <c r="K87" i="32" s="1"/>
  <c r="I85" i="32"/>
  <c r="K85" i="32" s="1"/>
  <c r="K86" i="30"/>
  <c r="I40" i="30"/>
  <c r="I100" i="30"/>
  <c r="E117" i="29"/>
  <c r="D117" i="29"/>
  <c r="E113" i="29"/>
  <c r="D113" i="29"/>
  <c r="I113" i="29" s="1"/>
  <c r="I57" i="32" l="1"/>
  <c r="K57" i="32" s="1"/>
  <c r="K53" i="32"/>
  <c r="K43" i="32"/>
  <c r="K35" i="32"/>
  <c r="I29" i="32"/>
  <c r="K29" i="32" s="1"/>
  <c r="E11" i="32"/>
  <c r="E17" i="32" s="1"/>
  <c r="D11" i="32"/>
  <c r="I153" i="35"/>
  <c r="D17" i="32" l="1"/>
  <c r="K47" i="32"/>
  <c r="K165" i="43"/>
  <c r="K167" i="43" s="1"/>
  <c r="K159" i="43"/>
  <c r="I145" i="43"/>
  <c r="I155" i="43" s="1"/>
  <c r="K155" i="43" s="1"/>
  <c r="I143" i="43"/>
  <c r="I141" i="43"/>
  <c r="K141" i="43" s="1"/>
  <c r="K137" i="43"/>
  <c r="D131" i="43"/>
  <c r="I131" i="43" s="1"/>
  <c r="K123" i="43"/>
  <c r="I117" i="43"/>
  <c r="K117" i="43" s="1"/>
  <c r="G113" i="43"/>
  <c r="E113" i="43"/>
  <c r="D113" i="43"/>
  <c r="K73" i="43"/>
  <c r="K75" i="43" s="1"/>
  <c r="I101" i="43"/>
  <c r="K101" i="43" s="1"/>
  <c r="I99" i="43"/>
  <c r="E85" i="43"/>
  <c r="E83" i="43"/>
  <c r="E67" i="43"/>
  <c r="E61" i="43"/>
  <c r="D61" i="43"/>
  <c r="I47" i="43"/>
  <c r="K47" i="43" s="1"/>
  <c r="E29" i="43"/>
  <c r="E17" i="43"/>
  <c r="K157" i="43"/>
  <c r="K109" i="43"/>
  <c r="D85" i="43"/>
  <c r="D83" i="43"/>
  <c r="D43" i="43"/>
  <c r="D45" i="43" s="1"/>
  <c r="E41" i="43"/>
  <c r="D41" i="43"/>
  <c r="D11" i="43"/>
  <c r="E11" i="43"/>
  <c r="K81" i="23"/>
  <c r="K73" i="23"/>
  <c r="I35" i="23"/>
  <c r="K21" i="23"/>
  <c r="K161" i="43" l="1"/>
  <c r="K143" i="43"/>
  <c r="K145" i="43"/>
  <c r="I61" i="43"/>
  <c r="K61" i="43" s="1"/>
  <c r="I113" i="43"/>
  <c r="K113" i="43" s="1"/>
  <c r="K125" i="43" s="1"/>
  <c r="I85" i="43"/>
  <c r="K85" i="43" s="1"/>
  <c r="I83" i="43"/>
  <c r="I89" i="43" s="1"/>
  <c r="K89" i="43" s="1"/>
  <c r="K99" i="43"/>
  <c r="K103" i="43" s="1"/>
  <c r="I41" i="43"/>
  <c r="I11" i="43"/>
  <c r="D67" i="43"/>
  <c r="D59" i="43"/>
  <c r="D17" i="43"/>
  <c r="I17" i="43" s="1"/>
  <c r="E43" i="43"/>
  <c r="E45" i="43" s="1"/>
  <c r="E59" i="43" s="1"/>
  <c r="I214" i="35"/>
  <c r="K214" i="35" s="1"/>
  <c r="I206" i="35"/>
  <c r="K206" i="35" s="1"/>
  <c r="I208" i="35"/>
  <c r="I204" i="35"/>
  <c r="K149" i="33"/>
  <c r="K177" i="35"/>
  <c r="K198" i="35"/>
  <c r="K196" i="35"/>
  <c r="E173" i="35"/>
  <c r="D173" i="35"/>
  <c r="D145" i="35"/>
  <c r="K117" i="35"/>
  <c r="K101" i="35"/>
  <c r="K107" i="35"/>
  <c r="K105" i="35"/>
  <c r="E81" i="35"/>
  <c r="D81" i="35"/>
  <c r="D74" i="35"/>
  <c r="D63" i="35"/>
  <c r="E11" i="35"/>
  <c r="D11" i="35"/>
  <c r="I131" i="33"/>
  <c r="K83" i="43" l="1"/>
  <c r="K91" i="43" s="1"/>
  <c r="I67" i="43"/>
  <c r="K67" i="43" s="1"/>
  <c r="I59" i="43"/>
  <c r="K59" i="43" s="1"/>
  <c r="I19" i="43"/>
  <c r="K19" i="43" s="1"/>
  <c r="K131" i="43"/>
  <c r="K147" i="43" s="1"/>
  <c r="I45" i="43"/>
  <c r="I53" i="43" s="1"/>
  <c r="K41" i="43"/>
  <c r="K11" i="43"/>
  <c r="D29" i="43"/>
  <c r="I147" i="33"/>
  <c r="K147" i="33" s="1"/>
  <c r="K131" i="33"/>
  <c r="I173" i="35"/>
  <c r="K173" i="35" s="1"/>
  <c r="I81" i="35"/>
  <c r="I171" i="35"/>
  <c r="D125" i="33"/>
  <c r="F125" i="33" s="1"/>
  <c r="K111" i="33"/>
  <c r="I95" i="33"/>
  <c r="D93" i="33"/>
  <c r="I93" i="33" s="1"/>
  <c r="E67" i="33"/>
  <c r="I49" i="33"/>
  <c r="E48" i="33"/>
  <c r="D48" i="33"/>
  <c r="E41" i="33"/>
  <c r="I29" i="34"/>
  <c r="D29" i="34"/>
  <c r="E29" i="34"/>
  <c r="K29" i="34"/>
  <c r="D11" i="33"/>
  <c r="I29" i="43" l="1"/>
  <c r="I37" i="43" s="1"/>
  <c r="K53" i="43"/>
  <c r="K45" i="43"/>
  <c r="I25" i="43"/>
  <c r="K25" i="43" s="1"/>
  <c r="I21" i="43"/>
  <c r="K21" i="43" s="1"/>
  <c r="I23" i="43"/>
  <c r="K23" i="43" s="1"/>
  <c r="K17" i="43"/>
  <c r="K171" i="35"/>
  <c r="I190" i="35"/>
  <c r="K190" i="35" s="1"/>
  <c r="G125" i="33"/>
  <c r="I127" i="33" s="1"/>
  <c r="K127" i="33" s="1"/>
  <c r="K101" i="34"/>
  <c r="K108" i="34"/>
  <c r="I69" i="34"/>
  <c r="D67" i="34"/>
  <c r="I71" i="34" s="1"/>
  <c r="K71" i="34" s="1"/>
  <c r="D37" i="34"/>
  <c r="E11" i="34"/>
  <c r="D11" i="34"/>
  <c r="F77" i="29"/>
  <c r="K29" i="43" l="1"/>
  <c r="K31" i="43" s="1"/>
  <c r="I43" i="43"/>
  <c r="K43" i="43" s="1"/>
  <c r="K37" i="43"/>
  <c r="I125" i="33"/>
  <c r="K69" i="34"/>
  <c r="I67" i="34"/>
  <c r="I17" i="32"/>
  <c r="I21" i="32" s="1"/>
  <c r="K69" i="43" l="1"/>
  <c r="K169" i="43" s="1"/>
  <c r="K170" i="43" s="1"/>
  <c r="K171" i="43" s="1"/>
  <c r="C17" i="11" s="1"/>
  <c r="I25" i="32"/>
  <c r="K27" i="23"/>
  <c r="I61" i="23"/>
  <c r="I53" i="23"/>
  <c r="J37" i="23"/>
  <c r="K15" i="23"/>
  <c r="K13" i="23"/>
  <c r="K53" i="23" l="1"/>
  <c r="I23" i="23"/>
  <c r="K23" i="23" s="1"/>
  <c r="I55" i="23"/>
  <c r="K55" i="23" s="1"/>
  <c r="I57" i="23"/>
  <c r="K57" i="23" s="1"/>
  <c r="K9" i="23"/>
  <c r="K136" i="30"/>
  <c r="K151" i="31"/>
  <c r="K131" i="31"/>
  <c r="K129" i="31"/>
  <c r="K119" i="31"/>
  <c r="D106" i="31"/>
  <c r="E106" i="31"/>
  <c r="D105" i="31"/>
  <c r="I93" i="31"/>
  <c r="I55" i="31"/>
  <c r="H106" i="31" l="1"/>
  <c r="K87" i="31" l="1"/>
  <c r="E83" i="31"/>
  <c r="D83" i="31"/>
  <c r="I81" i="31"/>
  <c r="K81" i="31" s="1"/>
  <c r="E70" i="31"/>
  <c r="E69" i="31"/>
  <c r="E41" i="31"/>
  <c r="D41" i="31"/>
  <c r="D70" i="31"/>
  <c r="H70" i="31" s="1"/>
  <c r="D69" i="31"/>
  <c r="H69" i="31" s="1"/>
  <c r="E45" i="31"/>
  <c r="D45" i="31"/>
  <c r="F47" i="31"/>
  <c r="E47" i="31"/>
  <c r="D47" i="31"/>
  <c r="E21" i="31"/>
  <c r="D21" i="31"/>
  <c r="D19" i="31"/>
  <c r="D17" i="31"/>
  <c r="D33" i="31" s="1"/>
  <c r="E11" i="31"/>
  <c r="D11" i="31"/>
  <c r="E19" i="31"/>
  <c r="E17" i="31"/>
  <c r="E33" i="31" s="1"/>
  <c r="F16" i="30"/>
  <c r="E16" i="30"/>
  <c r="D16" i="30"/>
  <c r="F17" i="31"/>
  <c r="F33" i="31" s="1"/>
  <c r="D10" i="30"/>
  <c r="I11" i="31" l="1"/>
  <c r="H41" i="31"/>
  <c r="I83" i="31"/>
  <c r="E105" i="31"/>
  <c r="H105" i="31" s="1"/>
  <c r="I105" i="31" s="1"/>
  <c r="I19" i="31"/>
  <c r="I45" i="31"/>
  <c r="I21" i="31"/>
  <c r="I69" i="31"/>
  <c r="I73" i="31" s="1"/>
  <c r="I17" i="31"/>
  <c r="D49" i="31"/>
  <c r="K134" i="30"/>
  <c r="J99" i="29"/>
  <c r="K131" i="29"/>
  <c r="I113" i="30"/>
  <c r="K113" i="30" s="1"/>
  <c r="F68" i="30"/>
  <c r="E52" i="30"/>
  <c r="D52" i="30"/>
  <c r="F52" i="30"/>
  <c r="E6" i="30"/>
  <c r="E68" i="30" s="1"/>
  <c r="D6" i="30"/>
  <c r="E49" i="30"/>
  <c r="D49" i="30"/>
  <c r="E46" i="30"/>
  <c r="D46" i="30"/>
  <c r="E33" i="30"/>
  <c r="D33" i="30"/>
  <c r="E32" i="30"/>
  <c r="D32" i="30"/>
  <c r="G18" i="30"/>
  <c r="E18" i="30"/>
  <c r="D18" i="30"/>
  <c r="E10" i="30"/>
  <c r="E104" i="30" l="1"/>
  <c r="D104" i="30"/>
  <c r="I104" i="30" s="1"/>
  <c r="I23" i="31"/>
  <c r="D53" i="31"/>
  <c r="I25" i="31"/>
  <c r="I29" i="31"/>
  <c r="I27" i="31"/>
  <c r="E100" i="30"/>
  <c r="E58" i="30"/>
  <c r="D82" i="30"/>
  <c r="E98" i="30"/>
  <c r="I32" i="30"/>
  <c r="I46" i="30"/>
  <c r="E82" i="30"/>
  <c r="D100" i="30"/>
  <c r="I16" i="30"/>
  <c r="D98" i="30"/>
  <c r="I18" i="30"/>
  <c r="I20" i="30" s="1"/>
  <c r="D58" i="30"/>
  <c r="D68" i="30"/>
  <c r="I68" i="30" s="1"/>
  <c r="I72" i="30" s="1"/>
  <c r="D80" i="30"/>
  <c r="I80" i="30" s="1"/>
  <c r="D44" i="30"/>
  <c r="I44" i="30" s="1"/>
  <c r="K129" i="29"/>
  <c r="K155" i="29"/>
  <c r="I98" i="30" l="1"/>
  <c r="K100" i="30"/>
  <c r="D59" i="31"/>
  <c r="I28" i="30"/>
  <c r="I58" i="30"/>
  <c r="I24" i="30"/>
  <c r="I82" i="30"/>
  <c r="I26" i="30"/>
  <c r="F111" i="29"/>
  <c r="I111" i="29" s="1"/>
  <c r="I97" i="29"/>
  <c r="K97" i="29" s="1"/>
  <c r="D95" i="29"/>
  <c r="I95" i="29" s="1"/>
  <c r="E93" i="29"/>
  <c r="D93" i="29"/>
  <c r="E91" i="29"/>
  <c r="I91" i="29" s="1"/>
  <c r="I89" i="29"/>
  <c r="E77" i="29"/>
  <c r="I63" i="29"/>
  <c r="E43" i="29"/>
  <c r="D43" i="29"/>
  <c r="E31" i="29"/>
  <c r="D31" i="29"/>
  <c r="E32" i="29"/>
  <c r="E46" i="29" s="1"/>
  <c r="I117" i="29" l="1"/>
  <c r="I81" i="29"/>
  <c r="I93" i="29"/>
  <c r="I49" i="29"/>
  <c r="K127" i="29" l="1"/>
  <c r="E45" i="29" l="1"/>
  <c r="F45" i="29" s="1"/>
  <c r="D45" i="29"/>
  <c r="I67" i="23" l="1"/>
  <c r="I63" i="23" l="1"/>
  <c r="I65" i="23"/>
  <c r="K79" i="23"/>
  <c r="J101" i="32"/>
  <c r="K101" i="32" s="1"/>
  <c r="K109" i="32"/>
  <c r="K133" i="32" s="1"/>
  <c r="K155" i="32" s="1"/>
  <c r="D41" i="33" l="1"/>
  <c r="I41" i="33" s="1"/>
  <c r="K226" i="35" l="1"/>
  <c r="D91" i="35" l="1"/>
  <c r="G74" i="35" l="1"/>
  <c r="D40" i="35"/>
  <c r="E40" i="35"/>
  <c r="K85" i="35"/>
  <c r="I40" i="35" l="1"/>
  <c r="K40" i="35" s="1"/>
  <c r="K55" i="31" l="1"/>
  <c r="K54" i="30" l="1"/>
  <c r="K55" i="29"/>
  <c r="K220" i="35" l="1"/>
  <c r="E101" i="31" l="1"/>
  <c r="D101" i="31"/>
  <c r="K93" i="31"/>
  <c r="K89" i="31"/>
  <c r="K85" i="31"/>
  <c r="K90" i="30"/>
  <c r="K84" i="30"/>
  <c r="I101" i="31" l="1"/>
  <c r="K101" i="31" s="1"/>
  <c r="K83" i="31"/>
  <c r="K98" i="30"/>
  <c r="K82" i="30"/>
  <c r="K117" i="29" l="1"/>
  <c r="K111" i="29"/>
  <c r="K103" i="29"/>
  <c r="K99" i="29"/>
  <c r="K95" i="29"/>
  <c r="K93" i="29"/>
  <c r="K91" i="29"/>
  <c r="K89" i="29"/>
  <c r="K113" i="29" l="1"/>
  <c r="J105" i="32"/>
  <c r="K123" i="31"/>
  <c r="J117" i="31"/>
  <c r="I27" i="29" l="1"/>
  <c r="K73" i="34"/>
  <c r="I23" i="29" l="1"/>
  <c r="I25" i="29"/>
  <c r="K115" i="31"/>
  <c r="E165" i="35" l="1"/>
  <c r="E167" i="35" s="1"/>
  <c r="D165" i="35"/>
  <c r="D167" i="35" s="1"/>
  <c r="E163" i="35"/>
  <c r="F63" i="35"/>
  <c r="G63" i="35" s="1"/>
  <c r="E74" i="35"/>
  <c r="F74" i="35"/>
  <c r="E70" i="35"/>
  <c r="D70" i="35"/>
  <c r="E68" i="35"/>
  <c r="D68" i="35"/>
  <c r="F64" i="35"/>
  <c r="E64" i="35"/>
  <c r="D64" i="35"/>
  <c r="D62" i="35"/>
  <c r="E52" i="35"/>
  <c r="D52" i="35"/>
  <c r="E44" i="35"/>
  <c r="D44" i="35"/>
  <c r="E38" i="35"/>
  <c r="D38" i="35"/>
  <c r="E36" i="35"/>
  <c r="D36" i="35"/>
  <c r="I64" i="35" l="1"/>
  <c r="I74" i="35"/>
  <c r="I38" i="35"/>
  <c r="I36" i="35" s="1"/>
  <c r="I52" i="35"/>
  <c r="I70" i="35"/>
  <c r="G62" i="35"/>
  <c r="I68" i="35"/>
  <c r="I44" i="35"/>
  <c r="E91" i="35"/>
  <c r="I91" i="35" s="1"/>
  <c r="I167" i="35"/>
  <c r="D194" i="35" s="1"/>
  <c r="I194" i="35" s="1"/>
  <c r="I165" i="35"/>
  <c r="D17" i="35"/>
  <c r="F61" i="33"/>
  <c r="I61" i="33" s="1"/>
  <c r="D79" i="33"/>
  <c r="I79" i="33" s="1"/>
  <c r="D77" i="33"/>
  <c r="I77" i="33" s="1"/>
  <c r="I83" i="33" s="1"/>
  <c r="K49" i="33"/>
  <c r="D43" i="33"/>
  <c r="E4" i="33"/>
  <c r="E47" i="33" s="1"/>
  <c r="I47" i="33" s="1"/>
  <c r="K47" i="33" s="1"/>
  <c r="E17" i="33"/>
  <c r="D17" i="33"/>
  <c r="K55" i="33"/>
  <c r="K62" i="35" l="1"/>
  <c r="I62" i="35"/>
  <c r="I17" i="33"/>
  <c r="I188" i="35"/>
  <c r="K188" i="35" s="1"/>
  <c r="K74" i="35"/>
  <c r="K61" i="33"/>
  <c r="E11" i="33"/>
  <c r="I11" i="33" s="1"/>
  <c r="E43" i="33"/>
  <c r="I43" i="33" s="1"/>
  <c r="D29" i="33"/>
  <c r="K91" i="35"/>
  <c r="K81" i="35"/>
  <c r="K79" i="33"/>
  <c r="D29" i="35"/>
  <c r="K125" i="33"/>
  <c r="D45" i="33"/>
  <c r="I11" i="35"/>
  <c r="E29" i="33"/>
  <c r="I19" i="33" l="1"/>
  <c r="I21" i="33"/>
  <c r="I25" i="33"/>
  <c r="I29" i="33"/>
  <c r="I37" i="33" s="1"/>
  <c r="I23" i="33"/>
  <c r="D67" i="33"/>
  <c r="D63" i="33"/>
  <c r="K41" i="33"/>
  <c r="K11" i="33"/>
  <c r="E45" i="33" l="1"/>
  <c r="I45" i="33" s="1"/>
  <c r="I53" i="33" s="1"/>
  <c r="K25" i="33"/>
  <c r="K21" i="33"/>
  <c r="K23" i="33"/>
  <c r="K29" i="33"/>
  <c r="K17" i="33"/>
  <c r="K19" i="33"/>
  <c r="E63" i="33" l="1"/>
  <c r="I63" i="33" s="1"/>
  <c r="K43" i="33"/>
  <c r="K45" i="33" l="1"/>
  <c r="K53" i="33" l="1"/>
  <c r="K63" i="33" l="1"/>
  <c r="I67" i="33" l="1"/>
  <c r="K67" i="33" l="1"/>
  <c r="E97" i="34"/>
  <c r="I97" i="34" s="1"/>
  <c r="E95" i="34"/>
  <c r="I95" i="34" s="1"/>
  <c r="E93" i="34"/>
  <c r="D93" i="34"/>
  <c r="E89" i="34"/>
  <c r="E53" i="34"/>
  <c r="E37" i="34"/>
  <c r="I93" i="34" l="1"/>
  <c r="I11" i="34"/>
  <c r="D53" i="34"/>
  <c r="I53" i="34" s="1"/>
  <c r="I57" i="34" s="1"/>
  <c r="D89" i="34"/>
  <c r="I89" i="34" s="1"/>
  <c r="I17" i="34" l="1"/>
  <c r="I143" i="32"/>
  <c r="I23" i="34" l="1"/>
  <c r="I21" i="34"/>
  <c r="I25" i="34"/>
  <c r="I19" i="34"/>
  <c r="K21" i="32"/>
  <c r="K25" i="32"/>
  <c r="I23" i="32"/>
  <c r="K23" i="32" s="1"/>
  <c r="K17" i="32"/>
  <c r="I11" i="32"/>
  <c r="I19" i="32" s="1"/>
  <c r="F49" i="31"/>
  <c r="F53" i="31" s="1"/>
  <c r="F59" i="31" s="1"/>
  <c r="K11" i="32" l="1"/>
  <c r="K19" i="32"/>
  <c r="G52" i="30"/>
  <c r="I52" i="30" s="1"/>
  <c r="D48" i="30" l="1"/>
  <c r="E48" i="30"/>
  <c r="I48" i="30" l="1"/>
  <c r="K105" i="32"/>
  <c r="K45" i="23" l="1"/>
  <c r="K121" i="30" l="1"/>
  <c r="K115" i="30"/>
  <c r="K37" i="23" l="1"/>
  <c r="K204" i="35" l="1"/>
  <c r="G159" i="35" l="1"/>
  <c r="J159" i="35" s="1"/>
  <c r="E145" i="35"/>
  <c r="I145" i="35" s="1"/>
  <c r="K103" i="35"/>
  <c r="K159" i="35" l="1"/>
  <c r="K64" i="35"/>
  <c r="K36" i="35"/>
  <c r="K46" i="35"/>
  <c r="E17" i="35"/>
  <c r="I17" i="35" s="1"/>
  <c r="I21" i="35" l="1"/>
  <c r="I25" i="35"/>
  <c r="I19" i="35"/>
  <c r="E29" i="35"/>
  <c r="I29" i="35" s="1"/>
  <c r="K38" i="35"/>
  <c r="K19" i="35" l="1"/>
  <c r="I23" i="35"/>
  <c r="K23" i="35" s="1"/>
  <c r="K21" i="35"/>
  <c r="K25" i="35"/>
  <c r="K17" i="35"/>
  <c r="K44" i="35"/>
  <c r="K52" i="35" l="1"/>
  <c r="K70" i="35" l="1"/>
  <c r="K68" i="35"/>
  <c r="I115" i="33" l="1"/>
  <c r="K61" i="32" l="1"/>
  <c r="K45" i="31" l="1"/>
  <c r="K44" i="30"/>
  <c r="K49" i="32"/>
  <c r="E49" i="31"/>
  <c r="I49" i="31" s="1"/>
  <c r="I10" i="30"/>
  <c r="I22" i="30" s="1"/>
  <c r="E53" i="31" l="1"/>
  <c r="E59" i="31" l="1"/>
  <c r="I59" i="31" s="1"/>
  <c r="K59" i="31" s="1"/>
  <c r="I53" i="31"/>
  <c r="K67" i="29"/>
  <c r="K208" i="35" l="1"/>
  <c r="I163" i="35"/>
  <c r="K95" i="33" l="1"/>
  <c r="K11" i="35" l="1"/>
  <c r="K29" i="35" l="1"/>
  <c r="K153" i="35"/>
  <c r="K163" i="35"/>
  <c r="K165" i="35"/>
  <c r="K167" i="35"/>
  <c r="K131" i="35"/>
  <c r="K137" i="35"/>
  <c r="K139" i="35"/>
  <c r="K145" i="35"/>
  <c r="K194" i="35"/>
  <c r="K113" i="35"/>
  <c r="K115" i="35"/>
  <c r="K97" i="35"/>
  <c r="K98" i="35"/>
  <c r="K81" i="34"/>
  <c r="K67" i="34"/>
  <c r="K93" i="34"/>
  <c r="K97" i="34"/>
  <c r="K95" i="34"/>
  <c r="K89" i="34"/>
  <c r="K43" i="34"/>
  <c r="K39" i="34"/>
  <c r="K37" i="34"/>
  <c r="K25" i="34"/>
  <c r="K23" i="34"/>
  <c r="K21" i="34"/>
  <c r="K19" i="34"/>
  <c r="K17" i="34"/>
  <c r="K11" i="34"/>
  <c r="K93" i="33"/>
  <c r="K101" i="33"/>
  <c r="K115" i="33"/>
  <c r="K109" i="33"/>
  <c r="K83" i="33"/>
  <c r="K37" i="33"/>
  <c r="K154" i="33" s="1"/>
  <c r="K155" i="33" s="1"/>
  <c r="K77" i="33"/>
  <c r="K131" i="32"/>
  <c r="K91" i="32"/>
  <c r="K89" i="32"/>
  <c r="K145" i="32"/>
  <c r="K143" i="32"/>
  <c r="K139" i="32"/>
  <c r="K139" i="31"/>
  <c r="K127" i="31"/>
  <c r="K117" i="31"/>
  <c r="K73" i="31"/>
  <c r="K41" i="31"/>
  <c r="K69" i="31"/>
  <c r="K105" i="31"/>
  <c r="K53" i="31"/>
  <c r="K49" i="31"/>
  <c r="K47" i="31"/>
  <c r="K33" i="31"/>
  <c r="K19" i="31"/>
  <c r="K17" i="31"/>
  <c r="K129" i="30"/>
  <c r="K72" i="30"/>
  <c r="K40" i="30"/>
  <c r="K68" i="30"/>
  <c r="K104" i="30"/>
  <c r="K52" i="30"/>
  <c r="K80" i="30"/>
  <c r="K48" i="30"/>
  <c r="K32" i="30"/>
  <c r="K20" i="30"/>
  <c r="K18" i="30"/>
  <c r="K10" i="30"/>
  <c r="K153" i="29"/>
  <c r="K151" i="29"/>
  <c r="K145" i="29"/>
  <c r="K137" i="29"/>
  <c r="K81" i="29"/>
  <c r="K39" i="29"/>
  <c r="K77" i="29"/>
  <c r="K63" i="29"/>
  <c r="K53" i="29"/>
  <c r="K49" i="29"/>
  <c r="K43" i="29"/>
  <c r="K47" i="29"/>
  <c r="K45" i="29"/>
  <c r="K31" i="29"/>
  <c r="K19" i="29"/>
  <c r="K69" i="29" l="1"/>
  <c r="K27" i="29"/>
  <c r="K25" i="29"/>
  <c r="K21" i="29"/>
  <c r="K23" i="29"/>
  <c r="K46" i="30"/>
  <c r="K58" i="30"/>
  <c r="K24" i="30"/>
  <c r="K26" i="30"/>
  <c r="K28" i="30"/>
  <c r="K21" i="31"/>
  <c r="K25" i="31"/>
  <c r="K11" i="31"/>
  <c r="K23" i="31"/>
  <c r="K16" i="30"/>
  <c r="K22" i="30"/>
  <c r="K11" i="29"/>
  <c r="K17" i="29"/>
  <c r="K33" i="29" l="1"/>
  <c r="K165" i="29" s="1"/>
  <c r="K166" i="29" s="1"/>
  <c r="K27" i="31"/>
  <c r="K29" i="31"/>
  <c r="K141" i="30" l="1"/>
  <c r="K67" i="23" l="1"/>
  <c r="K61" i="23"/>
  <c r="K63" i="23"/>
  <c r="K65" i="23"/>
  <c r="K43" i="23"/>
  <c r="K35" i="23"/>
  <c r="K86" i="23" l="1"/>
  <c r="K87" i="23" s="1"/>
  <c r="C21" i="11" s="1"/>
  <c r="K167" i="29"/>
  <c r="C5" i="11" l="1"/>
  <c r="K142" i="30"/>
  <c r="C7" i="11" s="1"/>
  <c r="K156" i="32" l="1"/>
  <c r="K157" i="32" s="1"/>
  <c r="C11" i="11" s="1"/>
  <c r="C15" i="11" l="1"/>
  <c r="K156" i="31"/>
  <c r="K157" i="31" s="1"/>
  <c r="C9" i="11" l="1"/>
  <c r="K113" i="34" l="1"/>
  <c r="C13" i="11" s="1"/>
  <c r="K231" i="35" l="1"/>
  <c r="K232" i="35" s="1"/>
  <c r="C19" i="11" s="1"/>
  <c r="C23" i="11" s="1"/>
</calcChain>
</file>

<file path=xl/comments1.xml><?xml version="1.0" encoding="utf-8"?>
<comments xmlns="http://schemas.openxmlformats.org/spreadsheetml/2006/main">
  <authors>
    <author>Author</author>
  </authors>
  <commentList>
    <comment ref="E32" authorId="0" shapeId="0">
      <text>
        <r>
          <rPr>
            <b/>
            <sz val="9"/>
            <color indexed="81"/>
            <rFont val="Tahoma"/>
            <family val="2"/>
          </rPr>
          <t>Author:</t>
        </r>
        <r>
          <rPr>
            <sz val="9"/>
            <color indexed="81"/>
            <rFont val="Tahoma"/>
            <family val="2"/>
          </rPr>
          <t xml:space="preserve">
outlet chamber
</t>
        </r>
      </text>
    </comment>
    <comment ref="D43" authorId="0" shapeId="0">
      <text>
        <r>
          <rPr>
            <b/>
            <sz val="9"/>
            <color indexed="81"/>
            <rFont val="Tahoma"/>
            <family val="2"/>
          </rPr>
          <t>Author:</t>
        </r>
        <r>
          <rPr>
            <sz val="9"/>
            <color indexed="81"/>
            <rFont val="Tahoma"/>
            <family val="2"/>
          </rPr>
          <t xml:space="preserve">
perimeter of BT</t>
        </r>
      </text>
    </comment>
    <comment ref="E43" authorId="0" shapeId="0">
      <text>
        <r>
          <rPr>
            <b/>
            <sz val="9"/>
            <color indexed="81"/>
            <rFont val="Tahoma"/>
            <family val="2"/>
          </rPr>
          <t>Author:</t>
        </r>
        <r>
          <rPr>
            <sz val="9"/>
            <color indexed="81"/>
            <rFont val="Tahoma"/>
            <family val="2"/>
          </rPr>
          <t xml:space="preserve">
perimeter of RB minus one length</t>
        </r>
      </text>
    </comment>
    <comment ref="F45" authorId="0" shapeId="0">
      <text>
        <r>
          <rPr>
            <b/>
            <sz val="9"/>
            <color indexed="81"/>
            <rFont val="Tahoma"/>
            <family val="2"/>
          </rPr>
          <t>Author:</t>
        </r>
        <r>
          <rPr>
            <sz val="9"/>
            <color indexed="81"/>
            <rFont val="Tahoma"/>
            <family val="2"/>
          </rPr>
          <t xml:space="preserve">
overlapp
</t>
        </r>
      </text>
    </comment>
    <comment ref="E46" authorId="0" shapeId="0">
      <text>
        <r>
          <rPr>
            <b/>
            <sz val="9"/>
            <color indexed="81"/>
            <rFont val="Tahoma"/>
            <family val="2"/>
          </rPr>
          <t>Author:</t>
        </r>
        <r>
          <rPr>
            <sz val="9"/>
            <color indexed="81"/>
            <rFont val="Tahoma"/>
            <family val="2"/>
          </rPr>
          <t xml:space="preserve">
Outlet Chamber area</t>
        </r>
      </text>
    </comment>
    <comment ref="D47" authorId="0" shapeId="0">
      <text>
        <r>
          <rPr>
            <b/>
            <sz val="9"/>
            <color indexed="81"/>
            <rFont val="Tahoma"/>
            <family val="2"/>
          </rPr>
          <t>Author:</t>
        </r>
        <r>
          <rPr>
            <sz val="9"/>
            <color indexed="81"/>
            <rFont val="Tahoma"/>
            <family val="2"/>
          </rPr>
          <t xml:space="preserve">
W of the BT</t>
        </r>
      </text>
    </comment>
    <comment ref="E47" authorId="0" shapeId="0">
      <text>
        <r>
          <rPr>
            <b/>
            <sz val="9"/>
            <color indexed="81"/>
            <rFont val="Tahoma"/>
            <family val="2"/>
          </rPr>
          <t>Author:</t>
        </r>
        <r>
          <rPr>
            <sz val="9"/>
            <color indexed="81"/>
            <rFont val="Tahoma"/>
            <family val="2"/>
          </rPr>
          <t xml:space="preserve">
L of BT</t>
        </r>
      </text>
    </comment>
    <comment ref="G47" authorId="0" shapeId="0">
      <text>
        <r>
          <rPr>
            <b/>
            <sz val="9"/>
            <color indexed="81"/>
            <rFont val="Tahoma"/>
            <family val="2"/>
          </rPr>
          <t>Author:</t>
        </r>
        <r>
          <rPr>
            <sz val="9"/>
            <color indexed="81"/>
            <rFont val="Tahoma"/>
            <family val="2"/>
          </rPr>
          <t xml:space="preserve">
W of OC</t>
        </r>
      </text>
    </comment>
    <comment ref="D48" authorId="0" shapeId="0">
      <text>
        <r>
          <rPr>
            <b/>
            <sz val="9"/>
            <color indexed="81"/>
            <rFont val="Tahoma"/>
            <family val="2"/>
          </rPr>
          <t>Author:</t>
        </r>
        <r>
          <rPr>
            <sz val="9"/>
            <color indexed="81"/>
            <rFont val="Tahoma"/>
            <family val="2"/>
          </rPr>
          <t xml:space="preserve">
W of RB</t>
        </r>
      </text>
    </comment>
    <comment ref="E48" authorId="0" shapeId="0">
      <text>
        <r>
          <rPr>
            <b/>
            <sz val="9"/>
            <color indexed="81"/>
            <rFont val="Tahoma"/>
            <family val="2"/>
          </rPr>
          <t>Author:</t>
        </r>
        <r>
          <rPr>
            <sz val="9"/>
            <color indexed="81"/>
            <rFont val="Tahoma"/>
            <family val="2"/>
          </rPr>
          <t xml:space="preserve">
L of RB</t>
        </r>
      </text>
    </comment>
    <comment ref="G48" authorId="0" shapeId="0">
      <text>
        <r>
          <rPr>
            <b/>
            <sz val="9"/>
            <color indexed="81"/>
            <rFont val="Tahoma"/>
            <family val="2"/>
          </rPr>
          <t>Author:</t>
        </r>
        <r>
          <rPr>
            <sz val="9"/>
            <color indexed="81"/>
            <rFont val="Tahoma"/>
            <family val="2"/>
          </rPr>
          <t xml:space="preserve">
L of OC</t>
        </r>
      </text>
    </comment>
    <comment ref="D67" authorId="0" shapeId="0">
      <text>
        <r>
          <rPr>
            <b/>
            <sz val="9"/>
            <color indexed="81"/>
            <rFont val="Tahoma"/>
            <family val="2"/>
          </rPr>
          <t>Author:</t>
        </r>
        <r>
          <rPr>
            <sz val="9"/>
            <color indexed="81"/>
            <rFont val="Tahoma"/>
            <family val="2"/>
          </rPr>
          <t xml:space="preserve">
W of BT</t>
        </r>
      </text>
    </comment>
    <comment ref="E67" authorId="0" shapeId="0">
      <text>
        <r>
          <rPr>
            <b/>
            <sz val="9"/>
            <color indexed="81"/>
            <rFont val="Tahoma"/>
            <family val="2"/>
          </rPr>
          <t>Author:</t>
        </r>
        <r>
          <rPr>
            <sz val="9"/>
            <color indexed="81"/>
            <rFont val="Tahoma"/>
            <family val="2"/>
          </rPr>
          <t xml:space="preserve">
L of BT</t>
        </r>
      </text>
    </comment>
    <comment ref="G67" authorId="0" shapeId="0">
      <text>
        <r>
          <rPr>
            <b/>
            <sz val="9"/>
            <color indexed="81"/>
            <rFont val="Tahoma"/>
            <family val="2"/>
          </rPr>
          <t>Author:</t>
        </r>
        <r>
          <rPr>
            <sz val="9"/>
            <color indexed="81"/>
            <rFont val="Tahoma"/>
            <family val="2"/>
          </rPr>
          <t xml:space="preserve">
W of OC</t>
        </r>
      </text>
    </comment>
    <comment ref="D68" authorId="0" shapeId="0">
      <text>
        <r>
          <rPr>
            <b/>
            <sz val="9"/>
            <color indexed="81"/>
            <rFont val="Tahoma"/>
            <family val="2"/>
          </rPr>
          <t>Author:</t>
        </r>
        <r>
          <rPr>
            <sz val="9"/>
            <color indexed="81"/>
            <rFont val="Tahoma"/>
            <family val="2"/>
          </rPr>
          <t xml:space="preserve">
W of RB</t>
        </r>
      </text>
    </comment>
    <comment ref="E68" authorId="0" shapeId="0">
      <text>
        <r>
          <rPr>
            <b/>
            <sz val="9"/>
            <color indexed="81"/>
            <rFont val="Tahoma"/>
            <family val="2"/>
          </rPr>
          <t>Author:</t>
        </r>
        <r>
          <rPr>
            <sz val="9"/>
            <color indexed="81"/>
            <rFont val="Tahoma"/>
            <family val="2"/>
          </rPr>
          <t xml:space="preserve">
L of RB</t>
        </r>
      </text>
    </comment>
    <comment ref="G68" authorId="0" shapeId="0">
      <text>
        <r>
          <rPr>
            <b/>
            <sz val="9"/>
            <color indexed="81"/>
            <rFont val="Tahoma"/>
            <family val="2"/>
          </rPr>
          <t>Author:</t>
        </r>
        <r>
          <rPr>
            <sz val="9"/>
            <color indexed="81"/>
            <rFont val="Tahoma"/>
            <family val="2"/>
          </rPr>
          <t xml:space="preserve">
L of OC</t>
        </r>
      </text>
    </comment>
    <comment ref="D77" authorId="0" shapeId="0">
      <text>
        <r>
          <rPr>
            <b/>
            <sz val="9"/>
            <color indexed="81"/>
            <rFont val="Tahoma"/>
            <family val="2"/>
          </rPr>
          <t>Author:</t>
        </r>
        <r>
          <rPr>
            <sz val="9"/>
            <color indexed="81"/>
            <rFont val="Tahoma"/>
            <family val="2"/>
          </rPr>
          <t xml:space="preserve">
walls for BT
</t>
        </r>
      </text>
    </comment>
    <comment ref="E77" authorId="0" shapeId="0">
      <text>
        <r>
          <rPr>
            <b/>
            <sz val="9"/>
            <color indexed="81"/>
            <rFont val="Tahoma"/>
            <family val="2"/>
          </rPr>
          <t>Author:</t>
        </r>
        <r>
          <rPr>
            <sz val="9"/>
            <color indexed="81"/>
            <rFont val="Tahoma"/>
            <family val="2"/>
          </rPr>
          <t xml:space="preserve">
walls of RB</t>
        </r>
      </text>
    </comment>
    <comment ref="F77" authorId="0" shapeId="0">
      <text>
        <r>
          <rPr>
            <b/>
            <sz val="9"/>
            <color indexed="81"/>
            <rFont val="Tahoma"/>
            <family val="2"/>
          </rPr>
          <t>Author:</t>
        </r>
        <r>
          <rPr>
            <sz val="9"/>
            <color indexed="81"/>
            <rFont val="Tahoma"/>
            <family val="2"/>
          </rPr>
          <t xml:space="preserve">
walls of OC</t>
        </r>
      </text>
    </comment>
    <comment ref="D93" authorId="0" shapeId="0">
      <text>
        <r>
          <rPr>
            <b/>
            <sz val="9"/>
            <color indexed="81"/>
            <rFont val="Tahoma"/>
            <family val="2"/>
          </rPr>
          <t>Author:</t>
        </r>
        <r>
          <rPr>
            <sz val="9"/>
            <color indexed="81"/>
            <rFont val="Tahoma"/>
            <family val="2"/>
          </rPr>
          <t xml:space="preserve">
outside stairs
</t>
        </r>
      </text>
    </comment>
    <comment ref="E93" authorId="0" shapeId="0">
      <text>
        <r>
          <rPr>
            <b/>
            <sz val="9"/>
            <color indexed="81"/>
            <rFont val="Tahoma"/>
            <family val="2"/>
          </rPr>
          <t>Author:</t>
        </r>
        <r>
          <rPr>
            <sz val="9"/>
            <color indexed="81"/>
            <rFont val="Tahoma"/>
            <family val="2"/>
          </rPr>
          <t xml:space="preserve">
Stairs btw RB and BT</t>
        </r>
      </text>
    </comment>
    <comment ref="D95" authorId="0" shapeId="0">
      <text>
        <r>
          <rPr>
            <b/>
            <sz val="9"/>
            <color indexed="81"/>
            <rFont val="Tahoma"/>
            <family val="2"/>
          </rPr>
          <t>Author:</t>
        </r>
        <r>
          <rPr>
            <sz val="9"/>
            <color indexed="81"/>
            <rFont val="Tahoma"/>
            <family val="2"/>
          </rPr>
          <t xml:space="preserve">
add overlapp of 0.2 in the width
</t>
        </r>
      </text>
    </comment>
    <comment ref="D113" authorId="0" shapeId="0">
      <text>
        <r>
          <rPr>
            <b/>
            <sz val="9"/>
            <color indexed="81"/>
            <rFont val="Tahoma"/>
            <family val="2"/>
          </rPr>
          <t>Author:</t>
        </r>
        <r>
          <rPr>
            <sz val="9"/>
            <color indexed="81"/>
            <rFont val="Tahoma"/>
            <family val="2"/>
          </rPr>
          <t xml:space="preserve">
outside stairs</t>
        </r>
      </text>
    </comment>
    <comment ref="E113" authorId="0" shapeId="0">
      <text>
        <r>
          <rPr>
            <b/>
            <sz val="9"/>
            <color indexed="81"/>
            <rFont val="Tahoma"/>
            <family val="2"/>
          </rPr>
          <t>Author:</t>
        </r>
        <r>
          <rPr>
            <sz val="9"/>
            <color indexed="81"/>
            <rFont val="Tahoma"/>
            <family val="2"/>
          </rPr>
          <t xml:space="preserve">
stairs btw BT and RB</t>
        </r>
      </text>
    </comment>
    <comment ref="D117" authorId="0" shapeId="0">
      <text>
        <r>
          <rPr>
            <b/>
            <sz val="9"/>
            <color indexed="81"/>
            <rFont val="Tahoma"/>
            <family val="2"/>
          </rPr>
          <t>Author:</t>
        </r>
        <r>
          <rPr>
            <sz val="9"/>
            <color indexed="81"/>
            <rFont val="Tahoma"/>
            <family val="2"/>
          </rPr>
          <t xml:space="preserve">
external sides of beams</t>
        </r>
      </text>
    </comment>
    <comment ref="E117" authorId="0" shapeId="0">
      <text>
        <r>
          <rPr>
            <b/>
            <sz val="9"/>
            <color indexed="81"/>
            <rFont val="Tahoma"/>
            <family val="2"/>
          </rPr>
          <t>Author:</t>
        </r>
        <r>
          <rPr>
            <sz val="9"/>
            <color indexed="81"/>
            <rFont val="Tahoma"/>
            <family val="2"/>
          </rPr>
          <t xml:space="preserve">
internal sides of beams</t>
        </r>
      </text>
    </comment>
  </commentList>
</comments>
</file>

<file path=xl/comments2.xml><?xml version="1.0" encoding="utf-8"?>
<comments xmlns="http://schemas.openxmlformats.org/spreadsheetml/2006/main">
  <authors>
    <author>Author</author>
  </authors>
  <commentList>
    <comment ref="D113" authorId="0" shapeId="0">
      <text>
        <r>
          <rPr>
            <b/>
            <sz val="9"/>
            <color indexed="81"/>
            <rFont val="Tahoma"/>
            <family val="2"/>
          </rPr>
          <t>Author:</t>
        </r>
        <r>
          <rPr>
            <sz val="9"/>
            <color indexed="81"/>
            <rFont val="Tahoma"/>
            <family val="2"/>
          </rPr>
          <t xml:space="preserve">
vertical pipe</t>
        </r>
      </text>
    </comment>
    <comment ref="E113" authorId="0" shapeId="0">
      <text>
        <r>
          <rPr>
            <b/>
            <sz val="9"/>
            <color indexed="81"/>
            <rFont val="Tahoma"/>
            <family val="2"/>
          </rPr>
          <t>Author:</t>
        </r>
        <r>
          <rPr>
            <sz val="9"/>
            <color indexed="81"/>
            <rFont val="Tahoma"/>
            <family val="2"/>
          </rPr>
          <t xml:space="preserve">
horizontal pipe</t>
        </r>
      </text>
    </comment>
  </commentList>
</comments>
</file>

<file path=xl/comments3.xml><?xml version="1.0" encoding="utf-8"?>
<comments xmlns="http://schemas.openxmlformats.org/spreadsheetml/2006/main">
  <authors>
    <author>Author</author>
  </authors>
  <commentList>
    <comment ref="D5" authorId="0" shapeId="0">
      <text>
        <r>
          <rPr>
            <b/>
            <sz val="9"/>
            <color indexed="81"/>
            <rFont val="Tahoma"/>
            <family val="2"/>
          </rPr>
          <t>Author:</t>
        </r>
        <r>
          <rPr>
            <sz val="9"/>
            <color indexed="81"/>
            <rFont val="Tahoma"/>
            <family val="2"/>
          </rPr>
          <t xml:space="preserve">
ABR length</t>
        </r>
      </text>
    </comment>
    <comment ref="E5" authorId="0" shapeId="0">
      <text>
        <r>
          <rPr>
            <b/>
            <sz val="9"/>
            <color indexed="81"/>
            <rFont val="Tahoma"/>
            <family val="2"/>
          </rPr>
          <t>Author:</t>
        </r>
        <r>
          <rPr>
            <sz val="9"/>
            <color indexed="81"/>
            <rFont val="Tahoma"/>
            <family val="2"/>
          </rPr>
          <t xml:space="preserve">
width ABR</t>
        </r>
      </text>
    </comment>
    <comment ref="F5" authorId="0" shapeId="0">
      <text>
        <r>
          <rPr>
            <b/>
            <sz val="9"/>
            <color indexed="81"/>
            <rFont val="Tahoma"/>
            <family val="2"/>
          </rPr>
          <t>Author:</t>
        </r>
        <r>
          <rPr>
            <sz val="9"/>
            <color indexed="81"/>
            <rFont val="Tahoma"/>
            <family val="2"/>
          </rPr>
          <t xml:space="preserve">
length ABR suspended slab</t>
        </r>
      </text>
    </comment>
    <comment ref="G5" authorId="0" shapeId="0">
      <text>
        <r>
          <rPr>
            <b/>
            <sz val="9"/>
            <color indexed="81"/>
            <rFont val="Tahoma"/>
            <family val="2"/>
          </rPr>
          <t>Author:</t>
        </r>
        <r>
          <rPr>
            <sz val="9"/>
            <color indexed="81"/>
            <rFont val="Tahoma"/>
            <family val="2"/>
          </rPr>
          <t xml:space="preserve">
width ABR suspended slab</t>
        </r>
      </text>
    </comment>
    <comment ref="D6" authorId="0" shapeId="0">
      <text>
        <r>
          <rPr>
            <b/>
            <sz val="9"/>
            <color indexed="81"/>
            <rFont val="Tahoma"/>
            <family val="2"/>
          </rPr>
          <t>Author:</t>
        </r>
        <r>
          <rPr>
            <sz val="9"/>
            <color indexed="81"/>
            <rFont val="Tahoma"/>
            <family val="2"/>
          </rPr>
          <t xml:space="preserve">
length siphon chamber</t>
        </r>
      </text>
    </comment>
    <comment ref="E6" authorId="0" shapeId="0">
      <text>
        <r>
          <rPr>
            <b/>
            <sz val="9"/>
            <color indexed="81"/>
            <rFont val="Tahoma"/>
            <family val="2"/>
          </rPr>
          <t>Author:</t>
        </r>
        <r>
          <rPr>
            <sz val="9"/>
            <color indexed="81"/>
            <rFont val="Tahoma"/>
            <family val="2"/>
          </rPr>
          <t xml:space="preserve">
width siphon chamber</t>
        </r>
      </text>
    </comment>
    <comment ref="D7" authorId="0" shapeId="0">
      <text>
        <r>
          <rPr>
            <b/>
            <sz val="9"/>
            <color indexed="81"/>
            <rFont val="Tahoma"/>
            <family val="2"/>
          </rPr>
          <t>Author:</t>
        </r>
        <r>
          <rPr>
            <sz val="9"/>
            <color indexed="81"/>
            <rFont val="Tahoma"/>
            <family val="2"/>
          </rPr>
          <t xml:space="preserve">
length inspection chamber</t>
        </r>
      </text>
    </comment>
    <comment ref="E7" authorId="0" shapeId="0">
      <text>
        <r>
          <rPr>
            <b/>
            <sz val="9"/>
            <color indexed="81"/>
            <rFont val="Tahoma"/>
            <family val="2"/>
          </rPr>
          <t>Author:</t>
        </r>
        <r>
          <rPr>
            <sz val="9"/>
            <color indexed="81"/>
            <rFont val="Tahoma"/>
            <family val="2"/>
          </rPr>
          <t xml:space="preserve">
width inspection chamber</t>
        </r>
      </text>
    </comment>
  </commentList>
</comments>
</file>

<file path=xl/comments4.xml><?xml version="1.0" encoding="utf-8"?>
<comments xmlns="http://schemas.openxmlformats.org/spreadsheetml/2006/main">
  <authors>
    <author>Author</author>
  </authors>
  <commentList>
    <comment ref="D29" authorId="0" shapeId="0">
      <text>
        <r>
          <rPr>
            <b/>
            <sz val="9"/>
            <color indexed="81"/>
            <rFont val="Tahoma"/>
            <family val="2"/>
          </rPr>
          <t>Author:</t>
        </r>
        <r>
          <rPr>
            <sz val="9"/>
            <color indexed="81"/>
            <rFont val="Tahoma"/>
            <family val="2"/>
          </rPr>
          <t xml:space="preserve">
cross sectional area</t>
        </r>
      </text>
    </comment>
    <comment ref="F29" authorId="0" shapeId="0">
      <text>
        <r>
          <rPr>
            <b/>
            <sz val="9"/>
            <color indexed="81"/>
            <rFont val="Tahoma"/>
            <family val="2"/>
          </rPr>
          <t>Author:</t>
        </r>
        <r>
          <rPr>
            <sz val="9"/>
            <color indexed="81"/>
            <rFont val="Tahoma"/>
            <family val="2"/>
          </rPr>
          <t xml:space="preserve">
width of a bed</t>
        </r>
      </text>
    </comment>
    <comment ref="G29" authorId="0" shapeId="0">
      <text>
        <r>
          <rPr>
            <b/>
            <sz val="9"/>
            <color indexed="81"/>
            <rFont val="Tahoma"/>
            <family val="2"/>
          </rPr>
          <t>Author:</t>
        </r>
        <r>
          <rPr>
            <sz val="9"/>
            <color indexed="81"/>
            <rFont val="Tahoma"/>
            <family val="2"/>
          </rPr>
          <t xml:space="preserve">
length of a bed</t>
        </r>
      </text>
    </comment>
    <comment ref="D91" authorId="0" shapeId="0">
      <text>
        <r>
          <rPr>
            <b/>
            <sz val="9"/>
            <color indexed="81"/>
            <rFont val="Tahoma"/>
            <family val="2"/>
          </rPr>
          <t>Author:</t>
        </r>
        <r>
          <rPr>
            <sz val="9"/>
            <color indexed="81"/>
            <rFont val="Tahoma"/>
            <family val="2"/>
          </rPr>
          <t xml:space="preserve">
horizontal</t>
        </r>
      </text>
    </comment>
    <comment ref="E91" authorId="0" shapeId="0">
      <text>
        <r>
          <rPr>
            <b/>
            <sz val="9"/>
            <color indexed="81"/>
            <rFont val="Tahoma"/>
            <family val="2"/>
          </rPr>
          <t>Author:</t>
        </r>
        <r>
          <rPr>
            <sz val="9"/>
            <color indexed="81"/>
            <rFont val="Tahoma"/>
            <family val="2"/>
          </rPr>
          <t xml:space="preserve">
slanted</t>
        </r>
      </text>
    </comment>
  </commentList>
</comments>
</file>

<file path=xl/sharedStrings.xml><?xml version="1.0" encoding="utf-8"?>
<sst xmlns="http://schemas.openxmlformats.org/spreadsheetml/2006/main" count="1262" uniqueCount="469">
  <si>
    <t>ITEM</t>
  </si>
  <si>
    <t>ITEM DESCRIPTION</t>
  </si>
  <si>
    <t>UNIT</t>
  </si>
  <si>
    <t>m</t>
  </si>
  <si>
    <t>RATE [KSh]</t>
  </si>
  <si>
    <t>AMOUNT [KSh]</t>
  </si>
  <si>
    <t>pcs</t>
  </si>
  <si>
    <t>10% Contigencies</t>
  </si>
  <si>
    <t>EARTHWORKS</t>
  </si>
  <si>
    <t>ha</t>
  </si>
  <si>
    <t>Tree of girth: 500mm - 1m (provisional)</t>
  </si>
  <si>
    <t>nr</t>
  </si>
  <si>
    <r>
      <t>m</t>
    </r>
    <r>
      <rPr>
        <vertAlign val="superscript"/>
        <sz val="10"/>
        <color theme="1"/>
        <rFont val="Arial"/>
        <family val="2"/>
      </rPr>
      <t>3</t>
    </r>
  </si>
  <si>
    <r>
      <t>m</t>
    </r>
    <r>
      <rPr>
        <vertAlign val="superscript"/>
        <sz val="10"/>
        <color theme="1"/>
        <rFont val="Arial"/>
        <family val="2"/>
      </rPr>
      <t>2</t>
    </r>
  </si>
  <si>
    <t>PIPEWORK - PIPES and FITTINGS</t>
  </si>
  <si>
    <t>BILL No</t>
  </si>
  <si>
    <t>DESCRIPTION</t>
  </si>
  <si>
    <t>(KSHs)</t>
  </si>
  <si>
    <t>Bill No 1</t>
  </si>
  <si>
    <t>Bill No 4</t>
  </si>
  <si>
    <t>Bill No 5</t>
  </si>
  <si>
    <t>Bill No 2</t>
  </si>
  <si>
    <t>VERTICAL FLOW CONSTRUCTED WETLAND</t>
  </si>
  <si>
    <t>Bill No 3</t>
  </si>
  <si>
    <t>SLUDGE DRYING REED BED</t>
  </si>
  <si>
    <t>SETTLER FOR PHASE SEPARATION</t>
  </si>
  <si>
    <t>Bill No 6</t>
  </si>
  <si>
    <t>RECEIVING BAY AND BALANCING TANKS</t>
  </si>
  <si>
    <t>Bill No 7</t>
  </si>
  <si>
    <t>AMOUNT</t>
  </si>
  <si>
    <t>AUXILIARY WORKS</t>
  </si>
  <si>
    <t>TOTAL INVESTMENT COSTS [KSh]</t>
  </si>
  <si>
    <t>QUANTITY/ CHAINAGE</t>
  </si>
  <si>
    <t>Excavate for foundations, part backfill after construction and remainder, cart away to tips or use as fill on site, all as directed by the Engineer</t>
  </si>
  <si>
    <r>
      <t>m</t>
    </r>
    <r>
      <rPr>
        <vertAlign val="superscript"/>
        <sz val="10"/>
        <rFont val="Times New Roman"/>
        <family val="1"/>
      </rPr>
      <t>3</t>
    </r>
  </si>
  <si>
    <t>-Ditto- for excavation in rock Class 'B', blasting not permitted (Provisional)</t>
  </si>
  <si>
    <t>-Ditto- for excavation in rock Class 'C', blasting not permitted (Provisional)</t>
  </si>
  <si>
    <r>
      <t>m</t>
    </r>
    <r>
      <rPr>
        <vertAlign val="superscript"/>
        <sz val="10"/>
        <rFont val="Times New Roman"/>
        <family val="1"/>
      </rPr>
      <t>2</t>
    </r>
  </si>
  <si>
    <t>Kg</t>
  </si>
  <si>
    <t>Formwork</t>
  </si>
  <si>
    <t xml:space="preserve">Provide and fix shuttering including propping, strutting and striking, all as specified </t>
  </si>
  <si>
    <t xml:space="preserve">200 mm Walling </t>
  </si>
  <si>
    <t>WALLING</t>
  </si>
  <si>
    <t>Maximum depth n.e. 1.0 m after stripping of top soil</t>
  </si>
  <si>
    <t>Tree of girth: up to 500mm (provisional)</t>
  </si>
  <si>
    <t>Provide reinforcement  - deformed high yield steel Y10 bars</t>
  </si>
  <si>
    <t>General Clearance</t>
  </si>
  <si>
    <t>Removal of trees and stumps</t>
  </si>
  <si>
    <t>Concrete</t>
  </si>
  <si>
    <t>Beams: provide all materials, mix, place and compact concrete grade C20 ( 1:1.5:3)</t>
  </si>
  <si>
    <t>CONCRETE / REINFORCEMENT/ FOMWORKS</t>
  </si>
  <si>
    <t>Horizontal soffits of suspended slabs</t>
  </si>
  <si>
    <t>Risers of steps 150mm high</t>
  </si>
  <si>
    <t>Sawn Formwork - Class F1 Finish</t>
  </si>
  <si>
    <t>Wrot Formwork - Class F3 Finish</t>
  </si>
  <si>
    <t>Sides of columns</t>
  </si>
  <si>
    <t>Area of column sides=(0.2*1.15*4*12)=11.04</t>
  </si>
  <si>
    <t>BILL 2 - SETTLER TANK</t>
  </si>
  <si>
    <t xml:space="preserve"> </t>
  </si>
  <si>
    <t>same as pipe length required</t>
  </si>
  <si>
    <t>BILL 3 - ANAEROBIC BAFFLED REACTOR</t>
  </si>
  <si>
    <t>Bituminous felt damp-proof course under 200mm wide walls</t>
  </si>
  <si>
    <t>BILL 4 - VERTICAL FLOW CONSTRUCTED WETLANDS</t>
  </si>
  <si>
    <t>Extra over Items :  for excavation in rock Class 'A', blasting not permitted (Provisional), to be approved and directed by the engineer</t>
  </si>
  <si>
    <t>kg</t>
  </si>
  <si>
    <t>ANAEROBIC BAFFLED REACTOR</t>
  </si>
  <si>
    <t>Bill No 8</t>
  </si>
  <si>
    <t>COMPOSTING FACILITY</t>
  </si>
  <si>
    <t>BIOGAS SETTLER/DIGESTER</t>
  </si>
  <si>
    <t>ANAEROBIC BAFFLED REACTOR/SETTLER</t>
  </si>
  <si>
    <t>CO-COMPOSTING FACILITY</t>
  </si>
  <si>
    <t>Old BoQs Frank</t>
  </si>
  <si>
    <t>Area:=Both longitudinal and transverse strip footing rebars calculated separately</t>
  </si>
  <si>
    <t>Surface area of windows</t>
  </si>
  <si>
    <t>General surfaces of fascia boards</t>
  </si>
  <si>
    <t>PAINTING AND DECORATING</t>
  </si>
  <si>
    <t>0.10 - 0.50 square metres</t>
  </si>
  <si>
    <r>
      <t>m</t>
    </r>
    <r>
      <rPr>
        <sz val="10"/>
        <color theme="1"/>
        <rFont val="Calibri"/>
        <family val="2"/>
      </rPr>
      <t>²</t>
    </r>
  </si>
  <si>
    <t xml:space="preserve">Window size 1200 x 1200mm high </t>
  </si>
  <si>
    <t>Steel Casement Windows</t>
  </si>
  <si>
    <t>METALWORK</t>
  </si>
  <si>
    <t>ROOF COVERINGS</t>
  </si>
  <si>
    <t>Reinforcement</t>
  </si>
  <si>
    <r>
      <t>m</t>
    </r>
    <r>
      <rPr>
        <sz val="10"/>
        <color theme="1"/>
        <rFont val="Calibri"/>
        <family val="2"/>
      </rPr>
      <t>³</t>
    </r>
  </si>
  <si>
    <t>Calculated separately on a spreadsheet.</t>
  </si>
  <si>
    <t>Pipes</t>
  </si>
  <si>
    <t>Fittings and Valves</t>
  </si>
  <si>
    <t>Pipe laying</t>
  </si>
  <si>
    <t>Pipework</t>
  </si>
  <si>
    <t>Carpentry and joining</t>
  </si>
  <si>
    <t>Roofing sheets</t>
  </si>
  <si>
    <t>Bulk excavations and top soil removal for the whole area of operator store bed (depth n.e. 250mm)</t>
  </si>
  <si>
    <t>ROOFING</t>
  </si>
  <si>
    <t>Supply and install:</t>
  </si>
  <si>
    <t>5 pieces, each 3m</t>
  </si>
  <si>
    <t>Nr of purlins x length</t>
  </si>
  <si>
    <t>Provide and install the following complete with associated pipework and fittings</t>
  </si>
  <si>
    <t>Tiling</t>
  </si>
  <si>
    <t>QUANTITY</t>
  </si>
  <si>
    <r>
      <rPr>
        <b/>
        <sz val="11"/>
        <color theme="1"/>
        <rFont val="Arial"/>
        <family val="2"/>
      </rPr>
      <t>WSTF</t>
    </r>
    <r>
      <rPr>
        <sz val="11"/>
        <color theme="1"/>
        <rFont val="Arial"/>
        <family val="2"/>
      </rPr>
      <t xml:space="preserve"> 
URBAN SANITATION UPSCALING PROGRAMM
1st Call</t>
    </r>
  </si>
  <si>
    <t>Siphon</t>
  </si>
  <si>
    <t>AMOUNT (KSh)</t>
  </si>
  <si>
    <t>SUBTOTAL 2</t>
  </si>
  <si>
    <t>SUBTOTAL 3</t>
  </si>
  <si>
    <t>SUBTOTAL 4</t>
  </si>
  <si>
    <t>SUBTOTAL 5</t>
  </si>
  <si>
    <t>SUBTOTAL 6</t>
  </si>
  <si>
    <t>ALLOW 5% CONTINGENCIES</t>
  </si>
  <si>
    <t xml:space="preserve">TOTAL </t>
  </si>
  <si>
    <t>SUBTOTAL 8</t>
  </si>
  <si>
    <t>METAL WORKS</t>
  </si>
  <si>
    <t>SUBTOTAL 1</t>
  </si>
  <si>
    <t>CHAMBERS</t>
  </si>
  <si>
    <t>ROADS</t>
  </si>
  <si>
    <t>TESTING OF SYSTEM</t>
  </si>
  <si>
    <t>SUBTOTAL 11</t>
  </si>
  <si>
    <t>CONCRETE / REINFORCEMENT/ FORMWORKS</t>
  </si>
  <si>
    <t>2*Surface area of walls =( 48.7*2)=97.4</t>
  </si>
  <si>
    <t>Finishing</t>
  </si>
  <si>
    <t xml:space="preserve">Assumption 100% of top soil, 30% of excavated material to be disposed </t>
  </si>
  <si>
    <t>Assumption 100% of top soil, 30% of excavated material to be disposed</t>
  </si>
  <si>
    <t>Sides of ground slab</t>
  </si>
  <si>
    <t>Strip walling</t>
  </si>
  <si>
    <t xml:space="preserve">2*Surface area of walls </t>
  </si>
  <si>
    <t>ls</t>
  </si>
  <si>
    <t xml:space="preserve">Sides for beams </t>
  </si>
  <si>
    <t>uPVC Flexible jointed Pipes Nominal  Diameter 150mm</t>
  </si>
  <si>
    <t xml:space="preserve">Door size 900 x 2100 mm high </t>
  </si>
  <si>
    <t xml:space="preserve">Existing formation compacted to 95% MDD as shown in the drawing </t>
  </si>
  <si>
    <t>A=LxW</t>
  </si>
  <si>
    <t>Volume=Runing length of footing x cross-section area</t>
  </si>
  <si>
    <t>Area=LxW</t>
  </si>
  <si>
    <t>Volume = Slab Area*D</t>
  </si>
  <si>
    <t>Volume= LxWxD</t>
  </si>
  <si>
    <t>Total no of columns = 12</t>
  </si>
  <si>
    <t>BT: 2 longitudinal + 2 transversal beams ; RB: 2 longitudinal beams</t>
  </si>
  <si>
    <t>Only for ground slab</t>
  </si>
  <si>
    <t>2 chambers L=0.8m and l=0.85m</t>
  </si>
  <si>
    <t>for the length include the two chambers</t>
  </si>
  <si>
    <t>ELECTRICAL CONNECTION</t>
  </si>
  <si>
    <t>ground slab of the ST + 2 chambers</t>
  </si>
  <si>
    <t>10 last rows of pipes</t>
  </si>
  <si>
    <t>2 first rows of pipes (inlet trench to ABR chamber)</t>
  </si>
  <si>
    <t>SUBTOTAL 7</t>
  </si>
  <si>
    <t>No ground slab, blinding follow the footing strip ; footing width=0.5</t>
  </si>
  <si>
    <t>height of the coverage on the wall is up until the top layer (for support) excluding sludge=0.9m</t>
  </si>
  <si>
    <t>layer depth=0.1m</t>
  </si>
  <si>
    <t>layer depth=0.4m</t>
  </si>
  <si>
    <t>ground slab of the shed and the water tank platform</t>
  </si>
  <si>
    <t>1 metal plate for each column</t>
  </si>
  <si>
    <t>height=2.1 under the beam</t>
  </si>
  <si>
    <t>height=excavation-footing height</t>
  </si>
  <si>
    <t>uPVC Flexible Jointed Pipes Nominal  Diameter 100mm</t>
  </si>
  <si>
    <t>Assumption: 30% of excavated material is class B</t>
  </si>
  <si>
    <t>SUBSTRUCTURE: CONCRETE / REINFORCEMENT/ FORMWORKS</t>
  </si>
  <si>
    <t>SUPERSTRUCTURE: CONCRETE / REINFORCEMENT/ FORMWORKS</t>
  </si>
  <si>
    <t>PROTECTIVE WORKS</t>
  </si>
  <si>
    <t>150mm dia. class 41 uPVC pipe (outlet)</t>
  </si>
  <si>
    <t>The rates shall include for all strutting, shuttering, stabilizing excavation phases and keeping the excavation free of water by pumping, bailing or other means</t>
  </si>
  <si>
    <t xml:space="preserve">200 mm walling </t>
  </si>
  <si>
    <t>The rate quoted shall be deemed to include excavation, transport from site store, laying, jointing and backfilling with selected excavated material in pipe trenches.  The rates shall include disposal of surplus material to tips identified by the Contractor in liaison with the Local Authority</t>
  </si>
  <si>
    <t>ditto, but depth from 1.0m up to 2.0m</t>
  </si>
  <si>
    <t>ditto, but depth from 2.0m up to 3.0m</t>
  </si>
  <si>
    <t>Provide approved hard core and compact in layers of 200mm</t>
  </si>
  <si>
    <t>ditto, but depth from 1.0m up to 2m</t>
  </si>
  <si>
    <t xml:space="preserve">100x100mm dia. uPVC class 41 Equal tee </t>
  </si>
  <si>
    <t>Supply and install steel truss materials and as shown in the drawings. The rates quoted to include z purlins, bolts, nuts, washers, welding etc.</t>
  </si>
  <si>
    <t>Supply and fix the following standard section horizontal bar type steel casement windows with one coat lead oxide primer complete with opening accessories including burglar proofing bedding and pointing around frames in cement mortar</t>
  </si>
  <si>
    <t>Window size 600 x 600mm high</t>
  </si>
  <si>
    <t>4mm thick clear sheet glass and glazing to steel casements  with putty in panes</t>
  </si>
  <si>
    <t>200 x 40mm fascia  board</t>
  </si>
  <si>
    <t>Supply and fix tiles on the floor and walling up to 1.2m high for the toilet area</t>
  </si>
  <si>
    <t>150mm hard core fill compacted base as shown in the drawing</t>
  </si>
  <si>
    <t>SUBTOTAL 9</t>
  </si>
  <si>
    <t xml:space="preserve">Prepare, knot, prime, stop and apply three coats first quality gloss paint </t>
  </si>
  <si>
    <t>Painting</t>
  </si>
  <si>
    <t>Damp-proof course</t>
  </si>
  <si>
    <t>Plaster</t>
  </si>
  <si>
    <t>Top soil removal</t>
  </si>
  <si>
    <t>Excavation for foundation</t>
  </si>
  <si>
    <t>Compaction</t>
  </si>
  <si>
    <t>FILTER MEDIA AND PLANTS</t>
  </si>
  <si>
    <t>PE liner</t>
  </si>
  <si>
    <t>Plants</t>
  </si>
  <si>
    <t>Filter media</t>
  </si>
  <si>
    <t>Supplementary parts</t>
  </si>
  <si>
    <t>Steelwork for columns</t>
  </si>
  <si>
    <t>Steel truss</t>
  </si>
  <si>
    <t>Natural stone wall</t>
  </si>
  <si>
    <t>Glazing</t>
  </si>
  <si>
    <t>SUBTOTAL 10</t>
  </si>
  <si>
    <t>Excavation</t>
  </si>
  <si>
    <t>FENCING AND GATE</t>
  </si>
  <si>
    <t>WATER SUPPLY</t>
  </si>
  <si>
    <t>SIGN POST</t>
  </si>
  <si>
    <t>Beams: provide all materials, mix, place and compact concrete grade C25/20 ( 1:1.5:3)</t>
  </si>
  <si>
    <t>m3</t>
  </si>
  <si>
    <t>Sides of  beams</t>
  </si>
  <si>
    <t>Footing: provide all materials, mix, place and compact concrete grade C25/20 ( 1:1.5:3)</t>
  </si>
  <si>
    <t>Columns: provide all materials, mix, place and compact concrete grade C25/20 (1:1.5:3)</t>
  </si>
  <si>
    <t>depth of strip footing= 0.1</t>
  </si>
  <si>
    <t>50x50*x2mm SHS=2.93kg/m, 50x25x2mm SHS=2.15Kg/m, length of 50x50x2mm =14.6*4=56.47 ; 50x25x2mm=5.25*4=21</t>
  </si>
  <si>
    <t>footing = strip and column footing all inclusive</t>
  </si>
  <si>
    <t xml:space="preserve">Assumption: 10% of excavated material </t>
  </si>
  <si>
    <t>Assumption: 60% of excavated material is class A</t>
  </si>
  <si>
    <t>Provide approved hard core and compact in one layer of 250mm and blinded with sand or gravel</t>
  </si>
  <si>
    <t>Screed the ground slab with water proof cement mortar 1:3 with a slope of 1% towards the outlet</t>
  </si>
  <si>
    <t>Plaster internally and externally with water proof cement mortar 1:3</t>
  </si>
  <si>
    <t>Area1:balancing tank = Lx W=(3*8)=28.56,Area 2:receiving bay =LxW =(6.2*0.9)=1.9, outlet chamber=LxW=(1x1)</t>
  </si>
  <si>
    <t xml:space="preserve">External side areas of beams= (8.4*2*0.3)+(5.3*2*0.3) = 8.22, internal side areas=(8*4*0.15)+(3.9*2*0.15) = 5.97 </t>
  </si>
  <si>
    <t>Supply, transport to site and store in secure place, including jointing material, bolts, gaskets, packing, jointing glues, etc. as applicable. Install, test and commission.</t>
  </si>
  <si>
    <t>The rate quoted shall be deemed to include, supply, transport to site, storage, excavation, laying, jointing and backfilling with selected excavated material in pipe trenches.  The rates shall include disposal of surplus material to tips identified by the Contractor in liaison with the Local Authority</t>
  </si>
  <si>
    <t>100mm dia. Butterfly PVC valve including stub, flange, bolts and nuts (controlling the flow from the outlet chamber)</t>
  </si>
  <si>
    <t>Suspended slab outlet chamber: Provide all materials, mix, place and compact concrete grade C25/20 (1:1.5:3) for outlet chamber suspended slab, depth of 150mm. Allow for a circular opening of 600mm dia.</t>
  </si>
  <si>
    <t xml:space="preserve">ST longitudinal=8.5 ; ST transversal =4.3 </t>
  </si>
  <si>
    <t>Assumption: 10% of excavated material 46.2³ is class C</t>
  </si>
  <si>
    <t>External side areas of beams= (8.1*2*0.4)+(3.9*2*0.4) =9.6, internal side areas = (8.1*2*0.25)+(3.9*4*0.25) = 7.95</t>
  </si>
  <si>
    <t>Suspended roof slab: Provide all materials, mix, place and compact concrete grade C25/20 (1:1.5:3) for settler tank suspended slab , depth of 150mm</t>
  </si>
  <si>
    <t>Sides of the suspended slab</t>
  </si>
  <si>
    <t xml:space="preserve">Provide all material, fabricate and install siphon in the siphon chamber as specified in the drawings </t>
  </si>
  <si>
    <t>150mm dia uPVC pipe 200mm long (sleeve for overflow pipe in the siphon chamber)</t>
  </si>
  <si>
    <t>50mm dia. uPVC pipe 200mm long (sleeve for aeration holes in the ABR chambers)</t>
  </si>
  <si>
    <t>NOTE: 
1. All the rates include 16% VAT
2. All the rates include supply, handling, assembling, installation, deployment of machines, processing (i.e. welding), and all related labour work</t>
  </si>
  <si>
    <t>100mm dia. 2000mm long uPVC Pipe for vent pipe, with three coats of gloss paint, PVC wire gauze, vent cap, all fittings (two bend and one tee) and a protective concrete stub as per details in Drg</t>
  </si>
  <si>
    <t>Clear area within the DTF site of all grass, bushes, shrubs, hedges and grub up roots</t>
  </si>
  <si>
    <t>SITE CLEARANCE AND GENERAL EXCAVATION</t>
  </si>
  <si>
    <t>Bulk excavations and top soil removal for the whole area of Receiving Bay and Balancing Tank (depth n.e. 250mm). Spread top soil stacked on site for reuse. Level and prepare for grassing and landscaping.</t>
  </si>
  <si>
    <t>Landscaping and grass planting</t>
  </si>
  <si>
    <t>Provide and plant approved grass and maintain until it takes roots</t>
  </si>
  <si>
    <t>Surface water drainage</t>
  </si>
  <si>
    <t>Supply and place approved 150mm thick size 6-10mm gravel shown on the drawings.</t>
  </si>
  <si>
    <t>Murram access road to the DTF</t>
  </si>
  <si>
    <t>Provide, lay, and compact murram wearing course compacted of a minimum of 150 mm consisting of well graded ground stabilised with 3% cement and compacted using a minimum 2 tons roller to the satisfaction of the project manager</t>
  </si>
  <si>
    <t>Provide, lay and compact to a minimum of 150mm thickness and CBR not less than 30, approved hardcore fill over the road formation surface.</t>
  </si>
  <si>
    <t>Gravel access road within the DTF</t>
  </si>
  <si>
    <t>Allow for test running of the facility by filling all the relevant modules (balancing tank, settler and ABR) with water (100 m²) and leaving it to stay for at least 2 days to check the water tightness. Water should then be passed through the entire system to check flow in a typical treatment process from the balancing tank to the outlet of the vertical flow constructed wetland.</t>
  </si>
  <si>
    <t xml:space="preserve">Provide and erect on site a project sign board fully labelled complying with WSTF guideline 2013, as instructed by the project manager </t>
  </si>
  <si>
    <t>Supply and install steel safety handle as specified in the drawings. Apply 1 coat of primer and 2 coats of approved gloss pain</t>
  </si>
  <si>
    <t xml:space="preserve">Supply and install steel safety handle as specified in the drawings. Apply 1 coat of primer and 2 coats of approved gloss paint </t>
  </si>
  <si>
    <t xml:space="preserve">GMS Coarse Screen, size 900x970mm, fabricated using GMS bars, 5x50 mm at spacing 30 mm (centre to centre) welded to frame hinged into concrete walls, all as per details on Drg. Apply 1 coat of primer and 2 coats of approved gloss paint </t>
  </si>
  <si>
    <t xml:space="preserve">GMS Fine Screen, size 900x970mm, fabricated using GMS bars, 5x50 mm at spacing 15 mm (centre to centre) welded to frame hinged into concrete walls, all as per details on Drg. Apply 1 coat of primer and 2 coats of approved gloss paint </t>
  </si>
  <si>
    <t xml:space="preserve">Steel cover, size 900x1100mm, made of 3mm plate hinged on one side (900mm) with a lifting handle made of R10 bar. Apply 1 coat of primer and 2 coats of approved gloss paint </t>
  </si>
  <si>
    <t>Bulk excavations and top soil removal for the whole area of VFCW (depth n.e. 250mm). Spread top soil stacked on site for reuse. Level and prepare for grassing and landscaping.</t>
  </si>
  <si>
    <t>Excavate, part backfill after construction and remainder, cart away to tips or use as fill on site, all as directed by project manager</t>
  </si>
  <si>
    <t>2no longitudinal walls for balancing tank 1.15m high= (1.15*8.4*2), 2 no transverse walls for balancing tank 1.15m high, (1.15*3.2*2), 2no longitudinal walls for receiving bay 0.6m high= (0.6*8.4*2), 2no transverse walls for receiving bay 0.6m high =(0.6*1.5*2), walls of outlet chamber 0.45m high = (0.45*3.4)</t>
  </si>
  <si>
    <t>SDRB length 9.6m ; width 10.4m ; length of each bed 4.5m</t>
  </si>
  <si>
    <t>Bulk excavations and top soil removal for the whole area of ABR (depth n.e. 250mm). Spread top soil stacked on site for reuse. Level and prepare for grassing and landscaping.</t>
  </si>
  <si>
    <t>Bulk excavations and top soil removal for the whole area of SDB (depth n.e. 250mm). Spread top soil stacked on site for reuse. Level and prepare for grassing and landscaping.</t>
  </si>
  <si>
    <t>BILL 5 - SLUDGE DRYING BED</t>
  </si>
  <si>
    <t>longitudinal height=1.2 ; height=1.6</t>
  </si>
  <si>
    <t>150mm dia. class 41 uPVC pipe (underdrain pipes)</t>
  </si>
  <si>
    <t xml:space="preserve"> maximal depth of the layer=0.35</t>
  </si>
  <si>
    <t>METAL WORK</t>
  </si>
  <si>
    <t>Screening box</t>
  </si>
  <si>
    <t xml:space="preserve">Supply all the required materials and fabricate a portable screening box (as per drawings) with the following characteristics:
- metallic frame of L 2000mm ; W 500mm ; d 300mm
- equipped with two hooks to hang the box on top of the wall
- Triple wire mesh: 1st mesh 5x5mm ; 2nd mesh 25x25mm ; 2nd mesh 50x50mm ; </t>
  </si>
  <si>
    <t xml:space="preserve">FILTER MEDIA </t>
  </si>
  <si>
    <t>Precast concrete slab</t>
  </si>
  <si>
    <t>Supply material, fabricate and place precast concrete slab class 20/20 finished fair on all surfaces of surface media 400mm x 600mm x 50mm to details shown on the drawings.</t>
  </si>
  <si>
    <t>Bulk excavations and top soil removal for the whole area of CA (depth n.e. 250mm). Spread top soil stacked on site for reuse. Level and prepare for grassing and landscaping.</t>
  </si>
  <si>
    <t xml:space="preserve">Natural stone block walling, medium chisel dressed, reinforced with 20 swg hoop iron at every third course, and bedded, jointed and bonded in cement mortar (1:3) </t>
  </si>
  <si>
    <t>Natural Stone Block Walling, medium chisel dressed, reinforced with 20 swg hoop iron at every third course, and bedded, jointed and bonded in cement mortar (1:3)</t>
  </si>
  <si>
    <t xml:space="preserve">foundation width=0.2 and height=0.6m </t>
  </si>
  <si>
    <t>Provide approved hard core and compact in layers of 250mm, blinded with final material 25mm thick</t>
  </si>
  <si>
    <t>width=0.6 ; depth=0.2</t>
  </si>
  <si>
    <t>depth of ground slab=0.15 ; surface area include platform for cistern (1.8*1.5)</t>
  </si>
  <si>
    <t>the footing + slab for the shed + water tank platform</t>
  </si>
  <si>
    <t>8 columns ; surface area=0.2m*0.2m ; height=1.5m (1m above ground and 0.5m underground)</t>
  </si>
  <si>
    <t>walls (0.5m high) only on the two longitudinal sides + on the one transversal side</t>
  </si>
  <si>
    <t>uPVC 150mm dia. rain gutter complete with accessories (e.g. union, end cap)</t>
  </si>
  <si>
    <t>uPVC 75mm down pipe with appropriates elbows</t>
  </si>
  <si>
    <t>20mm water tap with all required fittings</t>
  </si>
  <si>
    <t>Supply and fix 100mmx100mmx3mm thick and 1200mm long SHS column with 200mmx200mm metal plate as per drawings</t>
  </si>
  <si>
    <t>Supply and install 12mm dia and 3450mm long galvanised steel tensor rods fixed to the RHS with 2 joining plate, 2 rod anchor and 2 cover sleeve each, as shown in drawings</t>
  </si>
  <si>
    <t>IT4 (box profile) roofing sheets with resin coat laid on 50mm x 50mm x 2mm SHS</t>
  </si>
  <si>
    <t>roof length=11.2 ; width=3.8*2=7.6</t>
  </si>
  <si>
    <t>SOAK AWAY PIT</t>
  </si>
  <si>
    <t>PE water tank 1500 litres, on 400mm high platform comprising of masonry walls infilled with granular material and covered with reinforced concrete slab as per drawings. Allow for connection of an overflow pipe DN 75 with appropriate elbows from the water tank to be extended up to the storm water drain, length n.e. 10000mm</t>
  </si>
  <si>
    <t>Screed ground slab with water proof cement mortar 1:3 with a slope of 1% on each side towards the channel at the centre leading into the drain connecting the soak away pit</t>
  </si>
  <si>
    <t>Provide 25mm dia. HDPE water pipe and construct pipeline from the existing service line to the operator store through the overhead tank, incl. all required fittings. Allow for connection of the HDPE pipe to the service line with all appropriate fittings.</t>
  </si>
  <si>
    <t>item</t>
  </si>
  <si>
    <t>Provide and lay 100mm dia. Class 41 uPVC sewer pipe from the inspection chamber to the next treatment module</t>
  </si>
  <si>
    <t>Provide and install 15mm dia. HDPE water pipe in the washroom of the operator store, including all required fittings for connection and chasing all pipes within the wall and make good after</t>
  </si>
  <si>
    <t>Damp-proof membrane</t>
  </si>
  <si>
    <t>Supply and fix steel casement door with 50 x 50mm pressed metal frames, including hinges, pad bolts and tower bolts, all to manufacturer's details, with one coat lead oxide primer complete with opening accessories including bedding and and pointing around frames in cement mortar</t>
  </si>
  <si>
    <t>Steel Door</t>
  </si>
  <si>
    <t>IT4 (box profile) roofing sheets with resin coat laid on sawn cypress (Grade 2) battens size 100 x 50mm pressure impregnated with approved preservative</t>
  </si>
  <si>
    <t>Roof Timbers: mono pitch roof truss and overhanging canopy in sawn cypress grade II seasoned and pressure impregnated with wood preservative and timber joints with bolted and nailed connections as per the drawings</t>
  </si>
  <si>
    <t>Equal truss 4000mm clear span and 750mm high with 600mm eaves projection, in 100 x 50mm rafters and 100 x 50mm struts and ties with a spacing of 1500 mm C/C</t>
  </si>
  <si>
    <t>Other Roof Members: Sawn cypress grade II maximum moisture content 12% seasoned and pressure impregnated with wood preservative and timber joints with bolted and nailed connections as per drawings</t>
  </si>
  <si>
    <t>100 x 50mm purlins</t>
  </si>
  <si>
    <t>100 x 50mm wall plate tied to wall with 20 s.w.g. hoop iron at 900mm centres</t>
  </si>
  <si>
    <t>Ceiling</t>
  </si>
  <si>
    <t>50mm high cornice</t>
  </si>
  <si>
    <t>Provide and fix 9mm chipboard ceiling fixed on 600x600mm brandering (50x50mm). Allow for 1nr 600x600mm access hatch with cover</t>
  </si>
  <si>
    <t xml:space="preserve">Prepare, knot, prime, stop and apply three coats first quality emulsion paint </t>
  </si>
  <si>
    <t xml:space="preserve">Plastered surfaces internally </t>
  </si>
  <si>
    <t>Under side of the ceiling</t>
  </si>
  <si>
    <t>Flush door</t>
  </si>
  <si>
    <t xml:space="preserve">General surfaces of steel columns </t>
  </si>
  <si>
    <t xml:space="preserve">General surfaces of glazed metal windows, including burglar-proofing </t>
  </si>
  <si>
    <t xml:space="preserve">General surfaces of steel casement door and flush door </t>
  </si>
  <si>
    <t>Skirting tiles: 6mm thick and 100mm high ceramic coloured</t>
  </si>
  <si>
    <t xml:space="preserve">Allow for electrical connection including complete meter connection with meter box (KPLC), compact switch board, wiring and testing of the lighting system for two rooms (office and bathroom), 2 fluorescent bulbs, 2 switch buttons, 3 double electrical sockets and any other installation as to make lighting system operational as specified in the technical specifications or approved equivalent </t>
  </si>
  <si>
    <t>Steel tower</t>
  </si>
  <si>
    <t>Provide all material and construct a 3000mm high steel tower as specified in the drawings. Allow for excavating and placing of 4 nr class 25/20 concrete footing size 400x400x600mm deep as per drawings</t>
  </si>
  <si>
    <t>Supply and installation of a 500L water tank on a steel tower</t>
  </si>
  <si>
    <t>PCC SLABS</t>
  </si>
  <si>
    <t>Provide all material, fabricate and place PCC slabs 600x600mm around the operator store and allow for preparation of the bedding including all required earthwork</t>
  </si>
  <si>
    <t xml:space="preserve">SETTLER </t>
  </si>
  <si>
    <t>RECEIVING BAY / BALANCING TANK</t>
  </si>
  <si>
    <t>SLUDGE DRYING BED</t>
  </si>
  <si>
    <t>OPERATOR STORE</t>
  </si>
  <si>
    <t>Excavate earth drain to the lines and levels directed by the project manager. Depth to invert not exceeding 0.5m</t>
  </si>
  <si>
    <t>Allow for trimming of site to correct slopes and use excavated material as fill and cart-away remaining material to approved tips.</t>
  </si>
  <si>
    <t>Number of separarted IC per module SDBR=2 ; Bypass=4 ; VFCW=1</t>
  </si>
  <si>
    <t xml:space="preserve">Provide all materials and construct metal gate 6.0 m wide with 1 Nr 915 mm wide pedestrians entrance door within the gate, including 2 Nr pillars with column all as detailed on drawing, inclusive of painting with undercoating and finish coating </t>
  </si>
  <si>
    <t xml:space="preserve">Bulk excavations and top soil removal for the whole area of the road (depth n.e. 250mm). Spread top soil stacked on site for reuse. </t>
  </si>
  <si>
    <t>Provide and erect on site a DTF sign board fully labelled to comply with WSP guidelines, as instructed by project manager</t>
  </si>
  <si>
    <t>Maximum depth n.e. 1 m after stripping of top soil</t>
  </si>
  <si>
    <t xml:space="preserve">foundation width=0.2 and height=0.7m </t>
  </si>
  <si>
    <t xml:space="preserve">the footing </t>
  </si>
  <si>
    <t>Sides of the plinths</t>
  </si>
  <si>
    <t>Screed ground slab with water proof cement mortar 1:3 with a slope of 1% towards the door side where a channel is leading the drained water outside</t>
  </si>
  <si>
    <t>INCINERATOR</t>
  </si>
  <si>
    <t>Provide all materials: fire bricks, fire cement, ballast, sand, hinges, steel angle, steel channel RHS and flat sheet. Construct solid waste incinerator as specified in the drawing and plaster the external walls. Provide, connect and paint (quality gloss) 4m high DN150 steel pipe as chimney as per drawings. Fabricate, paint (quality gloss) and install steel top frame, cover, ash door and fire grate as per drawings</t>
  </si>
  <si>
    <t>Supply and fix 75mmx75mmx3mm thick and 3200mm long SHS column with fish tail lugs embeded in column footing as per drawings. Allow for welding of a 100x3mm U-shape steel sheet on top of the column to accommodate wall plate.</t>
  </si>
  <si>
    <t>Wire mesh</t>
  </si>
  <si>
    <t>Supply and install 50x50mm welded mesh to be welded to the steel column all around the incinerator shed</t>
  </si>
  <si>
    <t>Chimney support</t>
  </si>
  <si>
    <t>Supply and install 5mm thick steel cables from the roof of the shed to the top of the chimney</t>
  </si>
  <si>
    <t>Equal truss 2500mm clear span and 650mm high with 450mm eaves projection, in 100 x 50mm rafters and 100 x 50mm struts and ties with a spacing of 1500 mm C/C</t>
  </si>
  <si>
    <t>Roof Timbers: double pitch roof truss and overhanging canopy in sawn cypress grade II seasoned and pressure impregnated with wood preservative and timber joints with bolted and nailed connections as per the drawings</t>
  </si>
  <si>
    <t>Nr of purlins x length of the roof</t>
  </si>
  <si>
    <t xml:space="preserve">General surfaces of steel casement door </t>
  </si>
  <si>
    <t>Provide and install circular reinforced fibre covers of 600mm dia. including frame and fitted with a handle for the receiving bay, the balancing tank and the outlet chamber</t>
  </si>
  <si>
    <t>Provide and install circular reinforced fibre covers 600mm dia. with a frame and fitted with a handle (ABR chambers and Siphon chamber)</t>
  </si>
  <si>
    <t>Embankment</t>
  </si>
  <si>
    <t>Provide all material and fabricate reinforced precast concrete covers of 700x400x40mm with a 40x40mm angle frame connected with the welded mesh as per drawings. Allow for two metal handles per cover with a minimum of 100mm length and 40mm height. Apply 1 coat of primer and 2 coats of approved gloss paint to all metal parts. Allow for recess of 50x50mm on either side of the wall as per drawings.</t>
  </si>
  <si>
    <t>100mm dia. HDPE distribition pipe</t>
  </si>
  <si>
    <t>63mm dia. HDPE intermediate distribution pipe</t>
  </si>
  <si>
    <t>Provide all material, fabricate and place PCC slabs 600x600mm in front of the incinerator shed and allow for preparation of the bedding including all required earthwork</t>
  </si>
  <si>
    <t>Excavate for 3425mm long post holes (2700mm overground and 725mm underground), provide all materials and construct chain link fence to be gauge 12 galvanized steel wire double twist with 3 strands of gauge 16 barbed wire on concrete posts at 3 m centres all as per details on drawings provided including straining posts at every 10th post and additional posts at corners</t>
  </si>
  <si>
    <t>Supply, transport to site and store in secure place, jointing material, bolts, gaskets, packing, jointing glues, etc. as applicable. Install as per drawings, level, test and commission</t>
  </si>
  <si>
    <t>Supply, transport to site and store in secure place, including jointing material, bolts, gaskets, packing, jointing glues, etc. as applicable. Install as per drawings, level, test and commission</t>
  </si>
  <si>
    <t xml:space="preserve">100mm dia. class 41 uPVC drain pipes </t>
  </si>
  <si>
    <t xml:space="preserve">40 mm dia. HDPE feeding pipes </t>
  </si>
  <si>
    <t>pc</t>
  </si>
  <si>
    <t>Sealing of each opening (bitumen, welding or brackets) for  the pipe to pass through the wall</t>
  </si>
  <si>
    <t>Outlet pipe from the VFCW drainage channel to the discharge point at a depth n.e. 1.5m</t>
  </si>
  <si>
    <t>Excavate for foundations, part backfill after construction and remainder, cart away to tips or use as fill on site, all as directed by the Project Manager</t>
  </si>
  <si>
    <t>Suspended slab Balancing Tank: Provide all materials, mix, place and compact concrete grade C25/20 (1:1.5:3) for balancing tank suspended slab, depth of 150mm. Allow for 3 circular opening of 600mm dia. for the manholes</t>
  </si>
  <si>
    <t>Suspended slab Receiving Bay: Provide all materials, mix, place and compact concrete grade C25/20 (1:1.5:3) for receiving bay suspended slabs, depth of 150mm. Allow for one circular opening of 600mm dia. for the manhole</t>
  </si>
  <si>
    <t>Stairs: provide all materials, mix, place and compact concrete grade C25/20 (1:1.5:3)</t>
  </si>
  <si>
    <t>Beams: provide all materials, mix, place and compact concrete grade C25/20 (1:1.5:3)</t>
  </si>
  <si>
    <t>Provide and fix shuttering including propping, strutting and striking, all as specified. Sawn Formwork - Class F1 Finish</t>
  </si>
  <si>
    <t>Provide and fix shuttering including propping, strutting and striking, all as specified.Sawn Formwork - Class F1 Finish</t>
  </si>
  <si>
    <t>Provide and fix shuttering including propping, strutting and striking, all as specified. Wrot Formwork - Class F3 Finish</t>
  </si>
  <si>
    <t xml:space="preserve">100 mm dia. uPVC pipe with a bend bringing the overblow bypass from the balancing tank to the outlet chamber. All fittings should be protected with a coat of water paint and two coats of emulsion paint </t>
  </si>
  <si>
    <t>100 mm dia. uPVC pipe (connected to the butterfly valve at the balancing tank outlet)</t>
  </si>
  <si>
    <t>Bulk excavations and top soil removal for the whole area of Settler (depth n.e. 250mm). Spread top soil stacked on site for reuse. Level and prepare for grassing and landscaping</t>
  </si>
  <si>
    <t>Screed the ground slab with water proof cement mortar 1:3</t>
  </si>
  <si>
    <t>100mm dia. Class 41 uPVC pipe (for the down pipe at the inlet and outlet inside the tank)</t>
  </si>
  <si>
    <t>100x100mm dia. uPVC class 41 Equal tee (for the down pipe at the inlet and outlet inside the tank)</t>
  </si>
  <si>
    <t>Disposal of excavated material which cannot be used as backfill material on site. The rates shall include disposal of surplus material to tips identified by the Contractor in liaison with the Local Authority</t>
  </si>
  <si>
    <t>100mm PE saddle clamp (to connect the ballcock valves)</t>
  </si>
  <si>
    <t xml:space="preserve">100mm dia. PVC Ball Cock valve </t>
  </si>
  <si>
    <t>100mm dia. PVC nipple (2 before and 2 after the ballcock valve)</t>
  </si>
  <si>
    <t>100mm dia. PE adaptor</t>
  </si>
  <si>
    <t>100mm dia HDPE elbow</t>
  </si>
  <si>
    <t>100x100mm HDPE equal tee</t>
  </si>
  <si>
    <t>100x63mm HDPE reducer</t>
  </si>
  <si>
    <t>63x40mm HDPE reducing tee</t>
  </si>
  <si>
    <t>40mm dia. HDPE end cap</t>
  </si>
  <si>
    <t>40mm dia. HDPE elbow</t>
  </si>
  <si>
    <t>100mm dia. HDPE nipple</t>
  </si>
  <si>
    <t>Drainage layer: supply and place approved 100mm thick layer of approved coarse gravel size 20-32mm as shown on the drawings.</t>
  </si>
  <si>
    <t>Transition and distribution layer: supply and place approved 200mm thick layer (2 layers of 100mm high) of approved medium gravel size 10-14mm as shown on the drawings.</t>
  </si>
  <si>
    <t>SOLID WASTE INCINERATOR</t>
  </si>
  <si>
    <t xml:space="preserve">Provide all material and fabricate reinforced precast concrete covers of 750x500x40mm with a 40x40mm angle frame connected with the welded mesh as per drawings. Allow for two metal handles per cover with a minimum of 100mm length and 40mm height. Apply 1 coat of primer and 2 coats of approved gloss paint to all metal parts. Allow for recess of 50x50mm on either side of the distibution trenches wall as per drawings. </t>
  </si>
  <si>
    <t>Sides of beams</t>
  </si>
  <si>
    <t>100mm dia. class 41 uPVC pipe 1500mm long (for the next 30 pipes)</t>
  </si>
  <si>
    <t>100mm dia. class 41 uPVC pipe 1800mm long (for the first 6 pipes)</t>
  </si>
  <si>
    <t>Outlet pipe and bypass pipe connecting the balancing tank outlet to the settler (inlet and outlet) at a depth n.e. 1.5m</t>
  </si>
  <si>
    <t>100mm dia. Class 41 uPVC 1400mm long (for the 2 down pipe at the outlet inside the tank)</t>
  </si>
  <si>
    <t>100mm dia. class 41 uPVC pipe 260mm long (upper part of the down pipes)</t>
  </si>
  <si>
    <t>200mm walling</t>
  </si>
  <si>
    <t>Provide approved hard core and compact in one layer of 250mm and blinded with sand or gravel at the drainage channel level</t>
  </si>
  <si>
    <t>Compact using approved material to the right formation level with a slope of 5% towards the middle for each bed as shown in drawings</t>
  </si>
  <si>
    <t>Compact using approved material to the right formation level with a slope of 1% toward the drainage channel for each bed as shown in drawings</t>
  </si>
  <si>
    <t>Use excavated material to form embankment 600mm high with a top base of 600mm width and a 1:2 slope on either side. Allow for compaction to 95% MDD usingapproved material to the satisfaction of the project manager</t>
  </si>
  <si>
    <t>Screed the ground slab with water proof cement mortar 1:3. Allow for carrying out benching with a slope of 1:4 towards the central channel as per drawings.</t>
  </si>
  <si>
    <t>Precast concrete covers</t>
  </si>
  <si>
    <t>Provide all materials and perforate the pipes supplied under item 6.13. (feeding pipes) Perforation shall be slots of 5mm thick and 30mm long staggered every 300mm along a central line as per drawings</t>
  </si>
  <si>
    <t>Provide all materials and perforate the pipes supplied under item 6.14. (underdrain pipes). Perforation shall be slots of 5mm thick and 50mm long staggered every 100mm along a central line as per drawings</t>
  </si>
  <si>
    <t>Provide all materials and perforate the pipes supplied under item 6.11. (underdrain pipes). Perforation shall be slots of 5mm thick and 50mm long staggered every 100mm along a central line as per drawings</t>
  </si>
  <si>
    <t>Supply and plant common reeds (PHRAGMITES AUSTRALIS): 4 shoots per square metre. Allow for 3 months of nursing before planting and once planted maintainance until commissioning</t>
  </si>
  <si>
    <t>Outlet pipe from the Sludge drying beds to the to the next treatment module at a depth n.e. 1.5m</t>
  </si>
  <si>
    <t>Drainage layer: supply and place 350mm thick layer of approved coarse gravel size 20-32mm as shown on the drawings.</t>
  </si>
  <si>
    <t>Transition layer: supply and place 100mm thick layer of approved medium gravel size 10-14mm as shown on the drawings.</t>
  </si>
  <si>
    <t>Filtration layer: supply and place (as per drawings) 400mm thick layer of approved sieved and washed sand with the following characteristics: 
- effective size 0.7mm
- free of silt
- normal particle size distribution</t>
  </si>
  <si>
    <t>Filtration layer: Supply and place (as per drawings) 450mm thick layer of approved sieved and washed sand with the following characteristics: 
- effective size 0.7mm
- free of silt</t>
  </si>
  <si>
    <t>Supply, transport to site and store in secure place, including jointing material, bolts, gaskets, packing, jointing glues, etc. as applicable. Install as per drawings, test and commission</t>
  </si>
  <si>
    <t>BILL 6 - COMPOSTING AREA</t>
  </si>
  <si>
    <t>Plaster the walls internally and externally with water proof cement mortar 1:3</t>
  </si>
  <si>
    <t>Transluscent roofing sheets laid on 50mm x 50mm x 2mm SHS (ratio: 1/3 of the total roofing)</t>
  </si>
  <si>
    <t>Excavate for soak away pit depth n.e. 1000mm and dia 700mm. Infill with approved hardcore and cover it with polythen sheet and soil. Allow for connection of pipe DN 100 length 2000mm coming from the drainage channel in the composting shed</t>
  </si>
  <si>
    <t>Plaster walls internally and external wall above the ring beam with 12.5mm Thick Gauged Cement ratio 1:3</t>
  </si>
  <si>
    <t xml:space="preserve">200mm thick walling </t>
  </si>
  <si>
    <t>Provide all materials and install internal waste water drainage for the hand wash basin, the WC and the shower, to be connected to the inspection chamber outside the building</t>
  </si>
  <si>
    <t xml:space="preserve">Glazed ceramic wash hand basin </t>
  </si>
  <si>
    <t>Glazed Ceramic water closet</t>
  </si>
  <si>
    <t xml:space="preserve">Shower: instant shower head(Lorenzeti or equivalent) and 15mm dia. water tap </t>
  </si>
  <si>
    <t>50mm thick lipped flush door 900x2100mm high including hinges and ironmongery and frame made of 100x50mm seasoned timber</t>
  </si>
  <si>
    <t>BILL 7 - SOLID WASTE INCINERATOR</t>
  </si>
  <si>
    <t>BILL 8 - OPERATOR STORE</t>
  </si>
  <si>
    <t>BILL 9 - SITE AND AUXILIARY WORKS</t>
  </si>
  <si>
    <r>
      <rPr>
        <b/>
        <u/>
        <sz val="10"/>
        <rFont val="Arial"/>
        <family val="2"/>
      </rPr>
      <t>Note</t>
    </r>
    <r>
      <rPr>
        <sz val="10"/>
        <rFont val="Arial"/>
        <family val="2"/>
      </rPr>
      <t>:- Girth shall be measured 1.0 m above the ground level
Trees to remove to be identified by the Project Manager</t>
    </r>
  </si>
  <si>
    <t>Provide and construct chambers as described below. The rates quoted shall include site clearance, excavation, disposal of excavated material, backfilling, compacting and fixing of all inlet, outlet at the bottom of chamber, including haunching works and smooth finishing etc. as specified and instructed by the project manager</t>
  </si>
  <si>
    <t xml:space="preserve">Inspection chamber for the VFCW distribution system inlet: internal dimension 1200 x 825 mm up to a depth n.e. 1000 mm  including base slab, masonry walling 150mm thick, plastering internal and external and a cover slab 150mm thick with a circular 600mm x 600mm reinforced fibre access cover including a frame and fitted with a handle </t>
  </si>
  <si>
    <t>Bypass and inspection chamber: internal dimension 600 x 450 mm up to a depth n.e. 1000 mm including base slab, haunching, masonry walling 150mm thick, plastering internal and external, proper finishing and a cover slab 150mm thick with a rectangular 600mm x 450mm reinforced fibre access cover including a frame and fitted with a handle</t>
  </si>
  <si>
    <t>Bill No 9</t>
  </si>
  <si>
    <t>SITE AND AUXILIARY WORKS</t>
  </si>
  <si>
    <t>BILL 1 - RECEIVING BAY AND BALANCING TANK</t>
  </si>
  <si>
    <t xml:space="preserve">length foundation RBBT=8.4 ; width foundation RBBT=5.3 ; </t>
  </si>
  <si>
    <t>ditto, but depth from 1.0m up to 1.3m</t>
  </si>
  <si>
    <t>Supply, install and fix permanently 3 used tyres in front of the receiving bay inlet for protection during offloading (as per drawings)</t>
  </si>
  <si>
    <t>Supply and place the 1mm thick PE liner as shown on the drawing. Allow for welding of joints between two sheets using hot wedge welding machine (where applicable)</t>
  </si>
  <si>
    <t>100mm dia. PVC plug to connect to the socket end of the pipe (bypass and outlet) in the outlet chamber. Ensure water tightness of the plug joints by adding a rubber ring between the pipe and the plug</t>
  </si>
  <si>
    <t>100mm dia. PVC plug to connect to the socket end of the bypass pipe in the drainage channel. Ensure water tightness of the plug joints by adding a rubber ring between the pipe and the plug</t>
  </si>
  <si>
    <t>Provide and install material to ensure protection of the siphon unit including: vent cap with PVC gauze on top of the vent pipe and wire gauze surounding the bottom of the bell to prevent suction of coarse particles</t>
  </si>
  <si>
    <t>Floor tiles for the office and the washroom: 6mm thick ceramic coloured</t>
  </si>
  <si>
    <t>Wall tiles around the washroom to the height of 1500mm: 4mm thick ceramic coloured</t>
  </si>
  <si>
    <t>SUBTOTAL 09</t>
  </si>
  <si>
    <t>ground slab of the shed + plinth + decks</t>
  </si>
  <si>
    <t>Horizontal soffits of suspended slab (for the 2 decks)</t>
  </si>
  <si>
    <t>Extra over for Items 1.21-1.22 : for excavation in rock Class 'A', blasting not permitted (Provisional), to be approved and directed by the Project Manager</t>
  </si>
  <si>
    <t>Extra over for Items 1.21-1.23: for excavation in rock Class 'A', blasting not permitted (Provisional), to be approved and directed by the Project Manager</t>
  </si>
  <si>
    <t>Extra over for Items 1.21-1.23 : for excavation in rock Class 'A', blasting not permitted (Provisional), to be approved and directed by the Project Manager</t>
  </si>
  <si>
    <t>Extra over for Items 2.21-2.22 : for excavation in rock Class 'A', blasting not permitted (Provisional), to be approved and directed by the Project Manager</t>
  </si>
  <si>
    <t>Damp-proof membrane, gauge 1000 laid over hard core</t>
  </si>
  <si>
    <t>Provide and install approved reinforced fibre covers  900mm x 900mm including a frame and fitted with a handle for the two settler tanks</t>
  </si>
  <si>
    <t>Provide and install approved reinforced fibre covers 600mm x 450mm including a frame and fitted with a handle for inlet and outlet chamber</t>
  </si>
  <si>
    <t>Supply and install plastic encapsulated manhole step irons as specified in the drawings</t>
  </si>
  <si>
    <t>Blinding: Provide all materials, mix and place concrete grade C15/20 (1:3:6) for blinding of ground slab, mixing to be done using a concrete mixer approved to be suitable for the type of works by the Project Manager</t>
  </si>
  <si>
    <t>Ground slab: Provide all materials, mix, place and compact concrete grade C25/20 (1:1.5:3) for ground slab, mixing to be done using a concrete mixer approved to be suitable for the type of works by the Project Manager</t>
  </si>
  <si>
    <t>Plaster and Rendering</t>
  </si>
  <si>
    <t>Suspended roof slab for ABR Tank and siphon chamber: Provide all materials, mix, place and compact concrete grade C20 (1:1.5:3)</t>
  </si>
  <si>
    <t>Provide and install reinforced fibre covers 600mm x 450mm with a frame and fitted with a handle (inlet and outlet chamber)</t>
  </si>
  <si>
    <t>Damp-proof membrane, gauge 1000 laid over hard core (drainage channel)</t>
  </si>
  <si>
    <t>Blinding: Provide all materials, mix and place concrete grade C15/20 (1:3:6) for blinding of ground slab, mixing to be done using concrete mixer approved to be suitable for the type of works by the Project Manager</t>
  </si>
  <si>
    <t>Ground slab: Provide all materials, mix, place and compact concrete grade C25/20 (1:1.5:3) for ground slab, mixing to be done using concrete mixer approved to be suitable for the type of works by the project manager</t>
  </si>
  <si>
    <t>Strip footing: Provide all materials, mix, place and compact concrete grade C25/20 (1:1.5:3) for ground slab, mixing to be done using concrete mixer approved to be suitable for the type of works by the Project Manager</t>
  </si>
  <si>
    <t>Ground slab: Provide all materials, mix, place and compact concrete grade C25/20 (1:1.5:3) for ground slab, mixing to be done using concrete mixer approved to be suitable for the type of works by the Project Manager</t>
  </si>
  <si>
    <t>Ramp: Provide all materials, mix, place and compact concrete grade C25/20 (1:1.5:3) for ramp, mixing to be done using concrete mixer approved to be suitable for the type of works by the Project Manager</t>
  </si>
  <si>
    <t>Double pitch roof truss: supply and install using all required screws, nuts, connectors, bolts, nuts, washers, welding to the Project Manager's approval</t>
  </si>
  <si>
    <t>Blinding: Provide all materials, mix and place concrete grade C15/20 (1:3:6) for blinding of strip footing, mixing to be done using concrete mixer approved to be suitable for the type of works by the engineer</t>
  </si>
  <si>
    <t>Ground slab: Provide all materials, mix, place and compact concrete grade C25/20 (1:1.5:3) for ground slab 150mm high, mixing to be done using concrete mixer approved to be suitable for the type of works by the engineer</t>
  </si>
  <si>
    <t>Plinth for the incinerator unit: Provide all materials, mix, place and compacte concrete grade C25/20 (1:1.5:3) for plinth 150mm high, mixing to be done using concrete mixer approved to be suitable for the type of work by the project manager.</t>
  </si>
  <si>
    <t>Deck: Provide all materials, mix, place and compacte concrete grade C25/20 (1:1.5:3) for plinth 75mm high, mixing to be done using concrete mixer approved to be suitable for the type of work by the project manager.</t>
  </si>
  <si>
    <t>Ground slab: Provide all materials, mix, place and compact concrete grade C25/20 (1:1.5:3) for ground slab, mixing to be done using concrete mixer approved to be suitable for the type of works by the engineer</t>
  </si>
  <si>
    <t>Rendering</t>
  </si>
  <si>
    <t>Rendering internally and externally with water proof cement mortar 1:3</t>
  </si>
  <si>
    <t>Provide all materials as specified below and fix at sites; fabric reinforcement no. A142 mesh size 150 x 150mm weighing 2.22 kg per m2, including bends, tying wire and spacer blocks; fabric reinforcement with minimum 150mm wide side and end laps, laid in bed</t>
  </si>
  <si>
    <t>Provide all materials as specified below and fix at sites; fabric reinforcement no. A142 mesh size 150 x 150mm weighing 2.22 kg per m2 , including Bends, tying Wire and spacer blocks; fabric reinforcement with minimum 150mm wide side and end laps, laid in bed</t>
  </si>
  <si>
    <t>Provide all materials as specified below and fix at sites for ground slab, plinth and decks; fabric reinforcement no. A142 mesh size 150 x 150mm weighing 2.22 kg per m2 , including Bends, tying Wire and spacer blocks; fabric reinforcement with minimum 150mm wide side and end laps, laid in bed</t>
  </si>
  <si>
    <t>Outlet pipe and bypass pipe connecting the settler outlet to the ABR inlet at a depth n.e. 1.5m</t>
  </si>
  <si>
    <t>Extra over for Items 1.21-1.22:  for excavation in rock Class 'A', blasting not permitted (Provisional), to be approved and directed by the Project Manager</t>
  </si>
  <si>
    <t>Extra over for Items 2.21 - 2.22:  for excavation in rock Class 'A', blasting not permitted (Provisional), to be approved and directed by the Project Manager</t>
  </si>
  <si>
    <t>Outlet pipe connecting the ABR outlet to the VFCW inlet and by-pass connecting ABR inlet to VFCW inlet at a depth n.e. 1.5m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</si>
</sst>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_-* #,##0.00_-;\-* #,##0.00_-;_-* &quot;-&quot;??_-;_-@_-"/>
    <numFmt numFmtId="165" formatCode="_(* #,##0.00_);_(* \(#,##0.00\);_(* &quot;-&quot;??_);_(@_)"/>
    <numFmt numFmtId="166" formatCode="_-* #,##0.00\ _€_-;\-* #,##0.00\ _€_-;_-* &quot;-&quot;??\ _€_-;_-@_-"/>
    <numFmt numFmtId="167" formatCode="0.0"/>
    <numFmt numFmtId="168" formatCode="#,##0.0"/>
    <numFmt numFmtId="169" formatCode="0.000"/>
    <numFmt numFmtId="170" formatCode="_-* #,##0.0\ _€_-;\-* #,##0.0\ _€_-;_-* &quot;-&quot;??\ _€_-;_-@_-"/>
    <numFmt numFmtId="171" formatCode="_-* #,##0\ _€_-;\-* #,##0\ _€_-;_-* &quot;-&quot;??\ _€_-;_-@_-"/>
  </numFmts>
  <fonts count="32">
    <font>
      <sz val="11"/>
      <color theme="1"/>
      <name val="Calibri"/>
      <family val="2"/>
      <scheme val="minor"/>
    </font>
    <font>
      <sz val="11"/>
      <color theme="1"/>
      <name val="Calibri"/>
      <family val="2"/>
      <scheme val="minor"/>
    </font>
    <font>
      <sz val="12"/>
      <name val="Times New Roman"/>
      <family val="1"/>
    </font>
    <font>
      <sz val="11"/>
      <color indexed="8"/>
      <name val="Calibri"/>
      <family val="2"/>
    </font>
    <font>
      <sz val="10"/>
      <name val="Arial"/>
      <family val="2"/>
    </font>
    <font>
      <b/>
      <sz val="10"/>
      <color theme="1"/>
      <name val="Arial"/>
      <family val="2"/>
    </font>
    <font>
      <sz val="10"/>
      <color theme="1"/>
      <name val="Arial"/>
      <family val="2"/>
    </font>
    <font>
      <b/>
      <sz val="10"/>
      <name val="Arial"/>
      <family val="2"/>
    </font>
    <font>
      <sz val="12"/>
      <name val="宋体"/>
      <charset val="134"/>
    </font>
    <font>
      <sz val="11"/>
      <color theme="1"/>
      <name val="Georgia"/>
      <family val="1"/>
    </font>
    <font>
      <b/>
      <u/>
      <sz val="10"/>
      <name val="Arial"/>
      <family val="2"/>
    </font>
    <font>
      <vertAlign val="superscript"/>
      <sz val="10"/>
      <color theme="1"/>
      <name val="Arial"/>
      <family val="2"/>
    </font>
    <font>
      <b/>
      <u/>
      <sz val="10"/>
      <color theme="1"/>
      <name val="Arial"/>
      <family val="2"/>
    </font>
    <font>
      <b/>
      <sz val="10"/>
      <color rgb="FFFF0000"/>
      <name val="Arial"/>
      <family val="2"/>
    </font>
    <font>
      <b/>
      <u val="singleAccounting"/>
      <sz val="10"/>
      <name val="Arial"/>
      <family val="2"/>
    </font>
    <font>
      <b/>
      <sz val="12"/>
      <name val="Arial"/>
      <family val="2"/>
    </font>
    <font>
      <sz val="11"/>
      <color theme="1"/>
      <name val="Arial"/>
      <family val="2"/>
    </font>
    <font>
      <sz val="10"/>
      <color indexed="8"/>
      <name val="Arial"/>
      <family val="2"/>
    </font>
    <font>
      <b/>
      <sz val="12"/>
      <color indexed="8"/>
      <name val="Arial"/>
      <family val="2"/>
    </font>
    <font>
      <sz val="12"/>
      <color indexed="8"/>
      <name val="Arial"/>
      <family val="2"/>
    </font>
    <font>
      <sz val="12"/>
      <name val="Arial"/>
      <family val="2"/>
    </font>
    <font>
      <sz val="11"/>
      <name val="Arial"/>
      <family val="2"/>
    </font>
    <font>
      <b/>
      <sz val="11"/>
      <color theme="1"/>
      <name val="Calibri"/>
      <family val="2"/>
      <scheme val="minor"/>
    </font>
    <font>
      <sz val="10"/>
      <name val="Arial"/>
      <family val="2"/>
    </font>
    <font>
      <sz val="10"/>
      <name val="Times New Roman"/>
      <family val="1"/>
    </font>
    <font>
      <vertAlign val="superscript"/>
      <sz val="10"/>
      <name val="Times New Roman"/>
      <family val="1"/>
    </font>
    <font>
      <sz val="10"/>
      <color theme="1"/>
      <name val="Calibri"/>
      <family val="2"/>
    </font>
    <font>
      <sz val="10"/>
      <name val="Arial"/>
      <family val="2"/>
    </font>
    <font>
      <b/>
      <sz val="11"/>
      <color theme="1"/>
      <name val="Arial"/>
      <family val="2"/>
    </font>
    <font>
      <sz val="10"/>
      <color rgb="FFFF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style="thin">
        <color auto="1"/>
      </right>
      <top style="hair">
        <color indexed="64"/>
      </top>
      <bottom style="hair">
        <color indexed="64"/>
      </bottom>
      <diagonal/>
    </border>
    <border>
      <left style="thin">
        <color auto="1"/>
      </left>
      <right/>
      <top style="medium">
        <color indexed="64"/>
      </top>
      <bottom style="thin">
        <color auto="1"/>
      </bottom>
      <diagonal/>
    </border>
    <border>
      <left style="thin">
        <color indexed="64"/>
      </left>
      <right style="thin">
        <color indexed="64"/>
      </right>
      <top style="dotted">
        <color indexed="64"/>
      </top>
      <bottom style="thin">
        <color indexed="64"/>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auto="1"/>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style="thin">
        <color indexed="64"/>
      </right>
      <top style="thin">
        <color indexed="64"/>
      </top>
      <bottom style="double">
        <color indexed="64"/>
      </bottom>
      <diagonal/>
    </border>
  </borders>
  <cellStyleXfs count="27">
    <xf numFmtId="0" fontId="0" fillId="0" borderId="0"/>
    <xf numFmtId="166" fontId="1" fillId="0" borderId="0" applyFont="0" applyFill="0" applyBorder="0" applyAlignment="0" applyProtection="0"/>
    <xf numFmtId="0" fontId="2" fillId="0" borderId="0"/>
    <xf numFmtId="0" fontId="2" fillId="0" borderId="0"/>
    <xf numFmtId="0" fontId="1" fillId="0" borderId="0"/>
    <xf numFmtId="165" fontId="3"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0" fontId="4" fillId="0" borderId="0"/>
    <xf numFmtId="0" fontId="9" fillId="0" borderId="0"/>
    <xf numFmtId="0" fontId="4" fillId="0" borderId="0"/>
    <xf numFmtId="0" fontId="9" fillId="0" borderId="0"/>
    <xf numFmtId="0" fontId="8" fillId="0" borderId="0"/>
    <xf numFmtId="9" fontId="3" fillId="0" borderId="0" applyFont="0" applyFill="0" applyBorder="0" applyAlignment="0" applyProtection="0"/>
    <xf numFmtId="9" fontId="4" fillId="0" borderId="0" applyFont="0" applyFill="0" applyBorder="0" applyAlignment="0" applyProtection="0"/>
    <xf numFmtId="0" fontId="23" fillId="0" borderId="0"/>
    <xf numFmtId="164" fontId="23" fillId="0" borderId="0" applyFont="0" applyFill="0" applyBorder="0" applyAlignment="0" applyProtection="0"/>
    <xf numFmtId="0" fontId="4" fillId="0" borderId="0"/>
    <xf numFmtId="0" fontId="4" fillId="0" borderId="0"/>
    <xf numFmtId="0" fontId="24" fillId="0" borderId="0"/>
    <xf numFmtId="0" fontId="4" fillId="0" borderId="0"/>
    <xf numFmtId="165" fontId="24" fillId="0" borderId="0" applyFont="0" applyFill="0" applyBorder="0" applyAlignment="0" applyProtection="0"/>
    <xf numFmtId="0" fontId="27" fillId="0" borderId="0"/>
    <xf numFmtId="0" fontId="2" fillId="0" borderId="0"/>
  </cellStyleXfs>
  <cellXfs count="532">
    <xf numFmtId="0" fontId="0" fillId="0" borderId="0" xfId="0"/>
    <xf numFmtId="0" fontId="0" fillId="0" borderId="0" xfId="0"/>
    <xf numFmtId="165" fontId="10" fillId="2" borderId="4" xfId="8" applyFont="1" applyFill="1" applyBorder="1" applyAlignment="1">
      <alignment horizontal="left" vertical="top" wrapText="1"/>
    </xf>
    <xf numFmtId="165" fontId="4" fillId="2" borderId="4" xfId="8" applyFont="1" applyFill="1" applyBorder="1" applyAlignment="1">
      <alignment horizontal="left" vertical="top" wrapText="1"/>
    </xf>
    <xf numFmtId="0" fontId="6" fillId="0" borderId="4" xfId="0" applyFont="1" applyBorder="1" applyAlignment="1">
      <alignment horizontal="left" vertical="center" wrapText="1"/>
    </xf>
    <xf numFmtId="166" fontId="4" fillId="0" borderId="4" xfId="1" applyFont="1" applyBorder="1" applyAlignment="1">
      <alignment horizontal="center" vertical="center" wrapText="1"/>
    </xf>
    <xf numFmtId="166" fontId="4" fillId="0" borderId="5" xfId="1" applyFont="1" applyBorder="1" applyAlignment="1">
      <alignment horizontal="center" vertical="center" wrapText="1"/>
    </xf>
    <xf numFmtId="166" fontId="4" fillId="0" borderId="9" xfId="1" applyFont="1" applyBorder="1" applyAlignment="1">
      <alignment horizontal="center" vertical="center" wrapText="1"/>
    </xf>
    <xf numFmtId="0" fontId="16" fillId="0" borderId="0" xfId="0" applyFont="1"/>
    <xf numFmtId="0" fontId="7" fillId="0" borderId="4" xfId="3" applyFont="1" applyBorder="1" applyAlignment="1">
      <alignment horizontal="center" vertical="center" wrapText="1"/>
    </xf>
    <xf numFmtId="0" fontId="4" fillId="0" borderId="4" xfId="0" applyFont="1" applyFill="1" applyBorder="1" applyAlignment="1">
      <alignment horizontal="center" vertical="center" wrapText="1"/>
    </xf>
    <xf numFmtId="0" fontId="16" fillId="0" borderId="0" xfId="0" applyFont="1" applyAlignment="1">
      <alignment vertical="center"/>
    </xf>
    <xf numFmtId="0" fontId="5" fillId="0" borderId="0" xfId="0" applyFont="1" applyAlignment="1">
      <alignment wrapText="1"/>
    </xf>
    <xf numFmtId="0" fontId="7" fillId="0" borderId="9" xfId="3" applyFont="1" applyBorder="1" applyAlignment="1">
      <alignment horizontal="center" vertical="center" wrapText="1"/>
    </xf>
    <xf numFmtId="166" fontId="4" fillId="0" borderId="4" xfId="1" applyFont="1" applyBorder="1" applyAlignment="1">
      <alignment horizontal="center" vertical="center"/>
    </xf>
    <xf numFmtId="0" fontId="7" fillId="0" borderId="4" xfId="3" applyFont="1" applyBorder="1" applyAlignment="1">
      <alignment horizontal="center" vertical="center"/>
    </xf>
    <xf numFmtId="0" fontId="4" fillId="0" borderId="4" xfId="2" applyFont="1" applyBorder="1" applyAlignment="1">
      <alignment horizontal="center" vertical="center" wrapText="1"/>
    </xf>
    <xf numFmtId="0" fontId="20" fillId="0" borderId="12" xfId="0" applyFont="1" applyFill="1" applyBorder="1" applyAlignment="1">
      <alignment horizontal="left" vertical="center" wrapText="1"/>
    </xf>
    <xf numFmtId="0" fontId="22" fillId="0" borderId="0" xfId="0" applyFont="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top" wrapText="1"/>
    </xf>
    <xf numFmtId="0" fontId="0" fillId="0" borderId="0" xfId="0" applyBorder="1"/>
    <xf numFmtId="165" fontId="14" fillId="2" borderId="4" xfId="8" applyFont="1" applyFill="1" applyBorder="1" applyAlignment="1">
      <alignment horizontal="left" vertical="top" wrapText="1"/>
    </xf>
    <xf numFmtId="2" fontId="16" fillId="0" borderId="0" xfId="0" applyNumberFormat="1" applyFont="1" applyAlignment="1">
      <alignment horizontal="center" vertical="center"/>
    </xf>
    <xf numFmtId="0" fontId="4" fillId="0" borderId="4" xfId="0" applyFont="1" applyBorder="1" applyAlignment="1">
      <alignment horizontal="center" wrapText="1"/>
    </xf>
    <xf numFmtId="3" fontId="4" fillId="0" borderId="4" xfId="1" applyNumberFormat="1" applyFont="1" applyBorder="1" applyAlignment="1">
      <alignment horizontal="center" vertical="center" wrapText="1"/>
    </xf>
    <xf numFmtId="3" fontId="4" fillId="0" borderId="4" xfId="1" applyNumberFormat="1" applyFont="1" applyFill="1" applyBorder="1" applyAlignment="1" applyProtection="1">
      <alignment horizontal="center" vertical="center" wrapText="1"/>
    </xf>
    <xf numFmtId="0" fontId="6" fillId="0" borderId="5" xfId="0" applyFont="1" applyBorder="1" applyAlignment="1">
      <alignment horizontal="center" vertical="center"/>
    </xf>
    <xf numFmtId="0" fontId="4" fillId="0" borderId="5" xfId="0" applyFont="1" applyFill="1" applyBorder="1" applyAlignment="1">
      <alignment horizontal="center" vertical="center" wrapText="1"/>
    </xf>
    <xf numFmtId="3" fontId="0" fillId="0" borderId="0" xfId="0" applyNumberFormat="1"/>
    <xf numFmtId="3" fontId="0" fillId="0" borderId="0" xfId="0" applyNumberFormat="1" applyAlignment="1">
      <alignment horizontal="right"/>
    </xf>
    <xf numFmtId="3" fontId="22" fillId="0" borderId="0" xfId="1" applyNumberFormat="1" applyFont="1" applyAlignment="1">
      <alignment horizontal="right"/>
    </xf>
    <xf numFmtId="0" fontId="20" fillId="0" borderId="6" xfId="0" applyFont="1" applyFill="1" applyBorder="1" applyAlignment="1">
      <alignment horizontal="center" vertical="center"/>
    </xf>
    <xf numFmtId="0" fontId="20" fillId="0" borderId="8" xfId="0" quotePrefix="1" applyFont="1" applyFill="1" applyBorder="1" applyAlignment="1">
      <alignment horizontal="center" vertical="center"/>
    </xf>
    <xf numFmtId="0" fontId="20" fillId="0" borderId="16" xfId="0" quotePrefix="1" applyFont="1" applyFill="1" applyBorder="1" applyAlignment="1">
      <alignment horizontal="left" vertical="center" wrapText="1"/>
    </xf>
    <xf numFmtId="0" fontId="20" fillId="0" borderId="6" xfId="0" quotePrefix="1" applyFont="1" applyFill="1" applyBorder="1" applyAlignment="1">
      <alignment horizontal="center" vertical="center"/>
    </xf>
    <xf numFmtId="0" fontId="20" fillId="0" borderId="12" xfId="0" quotePrefix="1" applyFont="1" applyFill="1" applyBorder="1" applyAlignment="1">
      <alignment horizontal="left" vertical="center" wrapText="1"/>
    </xf>
    <xf numFmtId="0" fontId="15" fillId="0" borderId="7" xfId="0" applyFont="1" applyFill="1" applyBorder="1" applyAlignment="1">
      <alignment horizontal="center" vertical="center"/>
    </xf>
    <xf numFmtId="0" fontId="20" fillId="0" borderId="5" xfId="0" applyFont="1" applyFill="1" applyBorder="1" applyAlignment="1">
      <alignment horizontal="left" vertical="center" wrapText="1"/>
    </xf>
    <xf numFmtId="166" fontId="16" fillId="0" borderId="0" xfId="1" applyFont="1" applyAlignment="1">
      <alignment vertical="center"/>
    </xf>
    <xf numFmtId="0" fontId="16" fillId="0" borderId="0" xfId="0" applyFont="1" applyBorder="1"/>
    <xf numFmtId="166" fontId="4" fillId="0" borderId="0" xfId="1" applyFont="1" applyBorder="1" applyAlignment="1">
      <alignment vertical="center" wrapText="1"/>
    </xf>
    <xf numFmtId="0" fontId="4" fillId="0" borderId="0" xfId="2" applyFont="1" applyBorder="1" applyAlignment="1">
      <alignment horizontal="center" vertical="center" wrapText="1"/>
    </xf>
    <xf numFmtId="0" fontId="4" fillId="0" borderId="0" xfId="2" applyFont="1" applyBorder="1"/>
    <xf numFmtId="2" fontId="7" fillId="0" borderId="0" xfId="2" applyNumberFormat="1" applyFont="1" applyBorder="1" applyAlignment="1">
      <alignment horizontal="center" vertical="top" wrapText="1"/>
    </xf>
    <xf numFmtId="166" fontId="4" fillId="0" borderId="0" xfId="1" applyFont="1" applyBorder="1" applyAlignment="1">
      <alignment horizontal="right" vertical="center" wrapText="1"/>
    </xf>
    <xf numFmtId="0" fontId="4" fillId="0" borderId="0" xfId="26" applyFont="1" applyBorder="1" applyAlignment="1">
      <alignment horizontal="center" vertical="center" wrapText="1"/>
    </xf>
    <xf numFmtId="0" fontId="7" fillId="0" borderId="0" xfId="4" applyFont="1" applyFill="1" applyBorder="1" applyAlignment="1">
      <alignment vertical="top" wrapText="1"/>
    </xf>
    <xf numFmtId="0" fontId="17" fillId="0" borderId="0" xfId="6" applyFont="1" applyFill="1" applyBorder="1" applyAlignment="1" applyProtection="1">
      <alignment horizontal="center" vertical="center" wrapText="1"/>
    </xf>
    <xf numFmtId="0" fontId="17" fillId="0" borderId="0" xfId="6" applyFont="1" applyFill="1" applyBorder="1" applyAlignment="1" applyProtection="1">
      <alignment horizontal="left"/>
    </xf>
    <xf numFmtId="2" fontId="7" fillId="0" borderId="0" xfId="6" applyNumberFormat="1" applyFont="1" applyFill="1" applyBorder="1" applyAlignment="1" applyProtection="1">
      <alignment horizontal="center" vertical="top" wrapText="1"/>
    </xf>
    <xf numFmtId="166" fontId="4" fillId="0" borderId="0" xfId="1" applyFont="1" applyFill="1" applyBorder="1" applyAlignment="1">
      <alignment vertical="center" wrapText="1"/>
    </xf>
    <xf numFmtId="0" fontId="4" fillId="0" borderId="0" xfId="3" applyFont="1" applyFill="1" applyBorder="1" applyAlignment="1">
      <alignment horizontal="justify" vertical="top" wrapText="1"/>
    </xf>
    <xf numFmtId="0" fontId="7" fillId="0" borderId="0" xfId="6" applyFont="1" applyFill="1" applyBorder="1" applyAlignment="1" applyProtection="1">
      <alignment vertical="top"/>
    </xf>
    <xf numFmtId="0" fontId="17" fillId="0" borderId="0" xfId="6" applyFont="1" applyFill="1" applyBorder="1" applyAlignment="1" applyProtection="1">
      <alignment horizontal="left" wrapText="1"/>
    </xf>
    <xf numFmtId="166" fontId="4" fillId="0" borderId="0" xfId="1" applyFont="1" applyBorder="1" applyAlignment="1">
      <alignment horizontal="center" vertical="center" wrapText="1"/>
    </xf>
    <xf numFmtId="0" fontId="7" fillId="0" borderId="0" xfId="3" applyFont="1" applyBorder="1" applyAlignment="1">
      <alignment horizontal="center" vertical="center" wrapText="1"/>
    </xf>
    <xf numFmtId="0" fontId="10" fillId="0" borderId="0" xfId="3" applyFont="1" applyFill="1" applyBorder="1" applyAlignment="1">
      <alignment wrapText="1"/>
    </xf>
    <xf numFmtId="2" fontId="7" fillId="0" borderId="0" xfId="3" applyNumberFormat="1" applyFont="1" applyBorder="1" applyAlignment="1">
      <alignment horizontal="center" vertical="top" wrapText="1"/>
    </xf>
    <xf numFmtId="0" fontId="4" fillId="0" borderId="0" xfId="3" applyFont="1" applyBorder="1" applyAlignment="1">
      <alignment horizontal="center" vertical="center" wrapText="1"/>
    </xf>
    <xf numFmtId="0" fontId="16" fillId="0" borderId="0" xfId="0" applyFont="1" applyFill="1" applyBorder="1"/>
    <xf numFmtId="166" fontId="4" fillId="0" borderId="0" xfId="1" applyFont="1" applyFill="1" applyBorder="1" applyAlignment="1">
      <alignment horizontal="center" vertical="center" wrapText="1"/>
    </xf>
    <xf numFmtId="0" fontId="4" fillId="0" borderId="0" xfId="0" applyFont="1" applyBorder="1" applyAlignment="1">
      <alignment vertical="center"/>
    </xf>
    <xf numFmtId="0" fontId="4" fillId="0" borderId="0" xfId="3" applyFont="1" applyFill="1" applyBorder="1" applyAlignment="1">
      <alignment horizontal="center" vertical="center" wrapText="1"/>
    </xf>
    <xf numFmtId="0" fontId="4" fillId="0" borderId="0" xfId="3" applyFont="1" applyBorder="1" applyAlignment="1">
      <alignment horizontal="left" vertical="top"/>
    </xf>
    <xf numFmtId="0" fontId="21" fillId="0" borderId="0" xfId="0" applyFont="1"/>
    <xf numFmtId="0" fontId="4" fillId="0" borderId="0" xfId="3" applyFont="1"/>
    <xf numFmtId="0" fontId="16" fillId="0" borderId="0" xfId="0" applyFont="1" applyAlignment="1">
      <alignment horizontal="center" vertical="center"/>
    </xf>
    <xf numFmtId="165" fontId="10" fillId="2" borderId="4" xfId="8" applyFont="1" applyFill="1" applyBorder="1" applyAlignment="1">
      <alignment horizontal="left" vertical="center" wrapText="1"/>
    </xf>
    <xf numFmtId="165" fontId="4" fillId="2" borderId="4" xfId="8" applyFont="1" applyFill="1" applyBorder="1" applyAlignment="1">
      <alignment horizontal="left" vertical="center" wrapText="1"/>
    </xf>
    <xf numFmtId="0" fontId="24" fillId="0" borderId="17" xfId="22" applyFont="1" applyBorder="1" applyAlignment="1">
      <alignment vertical="center" wrapText="1"/>
    </xf>
    <xf numFmtId="0" fontId="6" fillId="0" borderId="5" xfId="0" applyFont="1" applyBorder="1" applyAlignment="1">
      <alignment horizontal="left" vertical="center" wrapText="1"/>
    </xf>
    <xf numFmtId="0" fontId="4" fillId="0" borderId="17" xfId="0" applyFont="1" applyFill="1" applyBorder="1" applyAlignment="1">
      <alignment vertical="center" wrapText="1"/>
    </xf>
    <xf numFmtId="0" fontId="5" fillId="0" borderId="0" xfId="0" applyFont="1" applyAlignment="1">
      <alignment vertical="center" wrapText="1"/>
    </xf>
    <xf numFmtId="0" fontId="12" fillId="0" borderId="4" xfId="0" applyFont="1" applyBorder="1" applyAlignment="1">
      <alignment horizontal="left" vertical="center" wrapText="1"/>
    </xf>
    <xf numFmtId="0" fontId="6" fillId="0" borderId="4" xfId="0" applyFont="1" applyBorder="1" applyAlignment="1">
      <alignment horizontal="left" vertical="center"/>
    </xf>
    <xf numFmtId="0" fontId="16" fillId="0" borderId="0" xfId="0" applyFont="1" applyAlignment="1">
      <alignment horizontal="left" vertical="center"/>
    </xf>
    <xf numFmtId="0" fontId="4" fillId="0" borderId="4" xfId="0" applyFont="1" applyBorder="1" applyAlignment="1">
      <alignment horizontal="center" vertical="center" wrapText="1"/>
    </xf>
    <xf numFmtId="0" fontId="24" fillId="0" borderId="17" xfId="22" applyFont="1" applyBorder="1" applyAlignment="1">
      <alignment horizontal="center" vertical="center" wrapText="1"/>
    </xf>
    <xf numFmtId="0" fontId="5" fillId="0" borderId="0" xfId="0" applyFont="1" applyAlignment="1">
      <alignment horizontal="left" vertical="center" wrapText="1"/>
    </xf>
    <xf numFmtId="0" fontId="12" fillId="0" borderId="4"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vertical="center"/>
    </xf>
    <xf numFmtId="2" fontId="7" fillId="0" borderId="0" xfId="26" applyNumberFormat="1" applyFont="1" applyBorder="1" applyAlignment="1">
      <alignment horizontal="center"/>
    </xf>
    <xf numFmtId="2" fontId="28" fillId="0" borderId="0" xfId="0" applyNumberFormat="1" applyFont="1"/>
    <xf numFmtId="0" fontId="6" fillId="0" borderId="1" xfId="0" applyFont="1" applyBorder="1" applyAlignment="1">
      <alignment horizontal="center" vertical="center"/>
    </xf>
    <xf numFmtId="0" fontId="7" fillId="0" borderId="0" xfId="6" applyFont="1" applyFill="1" applyBorder="1" applyAlignment="1" applyProtection="1">
      <alignment horizontal="center" vertical="center" wrapText="1"/>
    </xf>
    <xf numFmtId="0" fontId="4" fillId="0" borderId="0" xfId="0" applyFont="1" applyBorder="1" applyAlignment="1">
      <alignment horizontal="center" vertical="center"/>
    </xf>
    <xf numFmtId="166" fontId="17" fillId="0" borderId="0" xfId="1" applyFont="1" applyFill="1" applyBorder="1" applyAlignment="1">
      <alignment horizontal="center" vertical="center" wrapText="1"/>
    </xf>
    <xf numFmtId="166" fontId="16" fillId="0" borderId="0" xfId="1" applyFont="1" applyAlignment="1">
      <alignment horizontal="center" vertical="center"/>
    </xf>
    <xf numFmtId="166" fontId="16" fillId="0" borderId="0" xfId="0" applyNumberFormat="1" applyFont="1"/>
    <xf numFmtId="3" fontId="15" fillId="0" borderId="18" xfId="10" applyNumberFormat="1" applyFont="1" applyFill="1" applyBorder="1" applyAlignment="1">
      <alignment horizontal="center" vertical="center"/>
    </xf>
    <xf numFmtId="3" fontId="15" fillId="0" borderId="20" xfId="10" applyNumberFormat="1" applyFont="1" applyFill="1" applyBorder="1" applyAlignment="1">
      <alignment horizontal="center" vertical="center"/>
    </xf>
    <xf numFmtId="3" fontId="15" fillId="0" borderId="21" xfId="10" applyNumberFormat="1" applyFont="1" applyFill="1" applyBorder="1" applyAlignment="1">
      <alignment horizontal="center" vertical="center"/>
    </xf>
    <xf numFmtId="3" fontId="15" fillId="0" borderId="12" xfId="10" applyNumberFormat="1" applyFont="1" applyFill="1" applyBorder="1" applyAlignment="1">
      <alignment horizontal="center" vertical="center"/>
    </xf>
    <xf numFmtId="3" fontId="15" fillId="0" borderId="12" xfId="10" applyNumberFormat="1" applyFont="1" applyFill="1" applyBorder="1" applyAlignment="1">
      <alignment vertical="center"/>
    </xf>
    <xf numFmtId="3" fontId="15" fillId="0" borderId="22" xfId="10" applyNumberFormat="1" applyFont="1" applyFill="1" applyBorder="1" applyAlignment="1">
      <alignment horizontal="center" vertical="center"/>
    </xf>
    <xf numFmtId="3" fontId="15" fillId="0" borderId="13" xfId="10" applyNumberFormat="1" applyFont="1" applyFill="1" applyBorder="1" applyAlignment="1">
      <alignment horizontal="center" vertical="center"/>
    </xf>
    <xf numFmtId="0" fontId="6" fillId="3" borderId="5" xfId="0" applyFont="1" applyFill="1" applyBorder="1" applyAlignment="1">
      <alignment horizontal="center" vertical="center"/>
    </xf>
    <xf numFmtId="0" fontId="0" fillId="0" borderId="0" xfId="0" applyAlignment="1">
      <alignment wrapText="1"/>
    </xf>
    <xf numFmtId="0" fontId="20" fillId="0" borderId="6" xfId="0" applyFont="1" applyFill="1" applyBorder="1" applyAlignment="1">
      <alignment horizontal="center" vertical="center" wrapText="1"/>
    </xf>
    <xf numFmtId="3" fontId="15" fillId="0" borderId="12" xfId="10" applyNumberFormat="1" applyFont="1" applyFill="1" applyBorder="1" applyAlignment="1">
      <alignment horizontal="center" vertical="center" wrapText="1"/>
    </xf>
    <xf numFmtId="0" fontId="0" fillId="0" borderId="0" xfId="0" applyBorder="1" applyAlignment="1">
      <alignment wrapText="1"/>
    </xf>
    <xf numFmtId="0" fontId="7" fillId="0" borderId="32" xfId="2" applyFont="1" applyBorder="1" applyAlignment="1">
      <alignment horizontal="center" vertical="center" wrapText="1"/>
    </xf>
    <xf numFmtId="166" fontId="7" fillId="0" borderId="32" xfId="1" applyFont="1" applyBorder="1" applyAlignment="1">
      <alignment horizontal="center" vertical="center" wrapText="1"/>
    </xf>
    <xf numFmtId="2" fontId="7" fillId="0" borderId="17" xfId="3" applyNumberFormat="1" applyFont="1" applyBorder="1" applyAlignment="1">
      <alignment horizontal="center" vertical="center" wrapText="1"/>
    </xf>
    <xf numFmtId="0" fontId="7" fillId="0" borderId="17" xfId="3" applyFont="1" applyBorder="1" applyAlignment="1">
      <alignment horizontal="center" vertical="center"/>
    </xf>
    <xf numFmtId="0" fontId="7" fillId="0" borderId="17" xfId="3" applyFont="1" applyBorder="1" applyAlignment="1">
      <alignment horizontal="center" vertical="center" wrapText="1"/>
    </xf>
    <xf numFmtId="2" fontId="7" fillId="2" borderId="17" xfId="8" applyNumberFormat="1" applyFont="1" applyFill="1" applyBorder="1" applyAlignment="1">
      <alignment horizontal="center" vertical="center" wrapText="1"/>
    </xf>
    <xf numFmtId="165" fontId="10" fillId="2" borderId="17" xfId="8" applyFont="1" applyFill="1" applyBorder="1" applyAlignment="1">
      <alignment horizontal="left" vertical="center" wrapText="1"/>
    </xf>
    <xf numFmtId="0" fontId="6" fillId="0" borderId="17" xfId="0" applyFont="1" applyBorder="1" applyAlignment="1">
      <alignment horizontal="center" vertical="center"/>
    </xf>
    <xf numFmtId="0" fontId="6" fillId="0" borderId="17" xfId="0" applyFont="1" applyBorder="1" applyAlignment="1">
      <alignment vertical="center"/>
    </xf>
    <xf numFmtId="165" fontId="14" fillId="2" borderId="17" xfId="8" applyFont="1" applyFill="1" applyBorder="1" applyAlignment="1">
      <alignment horizontal="left" vertical="center" wrapText="1"/>
    </xf>
    <xf numFmtId="2" fontId="4" fillId="2" borderId="17" xfId="8" applyNumberFormat="1" applyFont="1" applyFill="1" applyBorder="1" applyAlignment="1">
      <alignment horizontal="center" vertical="center" wrapText="1"/>
    </xf>
    <xf numFmtId="165" fontId="4" fillId="2" borderId="17" xfId="8" applyFont="1" applyFill="1" applyBorder="1" applyAlignment="1">
      <alignment horizontal="left" vertical="center" wrapText="1"/>
    </xf>
    <xf numFmtId="166" fontId="4" fillId="0" borderId="17" xfId="1" applyFont="1" applyBorder="1" applyAlignment="1">
      <alignment horizontal="center" vertical="center"/>
    </xf>
    <xf numFmtId="166" fontId="4" fillId="0" borderId="17" xfId="1" applyFont="1" applyBorder="1" applyAlignment="1">
      <alignment horizontal="center" vertical="center" wrapText="1"/>
    </xf>
    <xf numFmtId="2" fontId="5" fillId="0" borderId="17" xfId="0" applyNumberFormat="1" applyFont="1" applyBorder="1" applyAlignment="1">
      <alignment horizontal="center" vertical="center"/>
    </xf>
    <xf numFmtId="0" fontId="5" fillId="0" borderId="17" xfId="0" applyFont="1" applyBorder="1" applyAlignment="1">
      <alignment horizontal="left" vertical="center" wrapText="1"/>
    </xf>
    <xf numFmtId="2" fontId="14" fillId="2" borderId="17" xfId="8" applyNumberFormat="1" applyFont="1" applyFill="1" applyBorder="1" applyAlignment="1">
      <alignment horizontal="center" vertical="center" wrapText="1"/>
    </xf>
    <xf numFmtId="2" fontId="6" fillId="0" borderId="17"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17" xfId="0" applyFont="1" applyBorder="1" applyAlignment="1">
      <alignment horizontal="center" vertical="center" wrapText="1"/>
    </xf>
    <xf numFmtId="0" fontId="6" fillId="0" borderId="17" xfId="0" applyFont="1" applyBorder="1" applyAlignment="1">
      <alignment horizontal="left" wrapText="1"/>
    </xf>
    <xf numFmtId="0" fontId="6" fillId="0" borderId="17" xfId="0" applyFont="1" applyBorder="1" applyAlignment="1">
      <alignment horizontal="right" wrapText="1"/>
    </xf>
    <xf numFmtId="2" fontId="4" fillId="0" borderId="17" xfId="3" applyNumberFormat="1" applyFont="1" applyBorder="1" applyAlignment="1">
      <alignment horizontal="center" vertical="center" wrapText="1"/>
    </xf>
    <xf numFmtId="2" fontId="4" fillId="0" borderId="17" xfId="0" applyNumberFormat="1" applyFont="1" applyBorder="1" applyAlignment="1">
      <alignment horizontal="center" vertical="center"/>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wrapText="1"/>
    </xf>
    <xf numFmtId="0" fontId="4" fillId="0" borderId="17" xfId="0" applyFont="1" applyBorder="1" applyAlignment="1">
      <alignment horizontal="center" wrapText="1"/>
    </xf>
    <xf numFmtId="2" fontId="7" fillId="0" borderId="17" xfId="0" applyNumberFormat="1" applyFont="1" applyBorder="1" applyAlignment="1">
      <alignment horizontal="center" vertical="center"/>
    </xf>
    <xf numFmtId="0" fontId="13" fillId="0" borderId="17" xfId="3" applyFont="1" applyBorder="1" applyAlignment="1">
      <alignment horizontal="center" vertical="center"/>
    </xf>
    <xf numFmtId="0" fontId="6" fillId="0" borderId="17" xfId="0" applyFont="1" applyBorder="1" applyAlignment="1">
      <alignment vertical="center" wrapText="1"/>
    </xf>
    <xf numFmtId="0" fontId="10" fillId="0" borderId="17" xfId="0" applyFont="1" applyBorder="1" applyAlignment="1">
      <alignment horizontal="left" vertical="center" wrapText="1"/>
    </xf>
    <xf numFmtId="0" fontId="12" fillId="0" borderId="17" xfId="0" applyFont="1" applyBorder="1" applyAlignment="1">
      <alignment horizontal="left" vertical="center" wrapText="1"/>
    </xf>
    <xf numFmtId="0" fontId="24" fillId="0" borderId="17" xfId="0" applyFont="1" applyBorder="1" applyAlignment="1">
      <alignment vertical="center" wrapText="1"/>
    </xf>
    <xf numFmtId="2" fontId="7" fillId="2" borderId="30" xfId="8" applyNumberFormat="1" applyFont="1" applyFill="1" applyBorder="1" applyAlignment="1">
      <alignment horizontal="center" vertical="center" wrapText="1"/>
    </xf>
    <xf numFmtId="165" fontId="14" fillId="2" borderId="30" xfId="8" applyFont="1" applyFill="1" applyBorder="1" applyAlignment="1">
      <alignment horizontal="left" vertical="center" wrapText="1"/>
    </xf>
    <xf numFmtId="0" fontId="6" fillId="0" borderId="30" xfId="0" applyFont="1" applyBorder="1" applyAlignment="1">
      <alignment horizontal="center" vertical="center"/>
    </xf>
    <xf numFmtId="0" fontId="6" fillId="0" borderId="30" xfId="0" applyFont="1" applyBorder="1" applyAlignment="1">
      <alignment vertical="center"/>
    </xf>
    <xf numFmtId="166" fontId="4" fillId="0" borderId="30" xfId="1" applyFont="1" applyBorder="1" applyAlignment="1">
      <alignment horizontal="center" vertical="center"/>
    </xf>
    <xf numFmtId="166" fontId="4" fillId="0" borderId="30" xfId="1" applyFont="1" applyBorder="1" applyAlignment="1">
      <alignment horizontal="center" vertical="center" wrapText="1"/>
    </xf>
    <xf numFmtId="2" fontId="6" fillId="0" borderId="33" xfId="0" applyNumberFormat="1" applyFont="1" applyBorder="1" applyAlignment="1">
      <alignment horizontal="center" vertical="center"/>
    </xf>
    <xf numFmtId="0" fontId="6" fillId="0" borderId="33" xfId="0" applyFont="1" applyBorder="1" applyAlignment="1">
      <alignment horizontal="left" vertical="center" wrapText="1"/>
    </xf>
    <xf numFmtId="0" fontId="6" fillId="0" borderId="33" xfId="0" applyFont="1" applyBorder="1" applyAlignment="1">
      <alignment horizontal="center" vertical="center"/>
    </xf>
    <xf numFmtId="166" fontId="4" fillId="0" borderId="33" xfId="1" applyFont="1" applyBorder="1" applyAlignment="1">
      <alignment horizontal="center" vertical="center"/>
    </xf>
    <xf numFmtId="166" fontId="4" fillId="0" borderId="33" xfId="1" applyFont="1" applyBorder="1" applyAlignment="1">
      <alignment horizontal="center" vertical="center" wrapText="1"/>
    </xf>
    <xf numFmtId="2" fontId="16" fillId="0" borderId="27" xfId="0" applyNumberFormat="1" applyFont="1" applyBorder="1" applyAlignment="1">
      <alignment vertical="center"/>
    </xf>
    <xf numFmtId="2" fontId="16" fillId="0" borderId="28" xfId="0" applyNumberFormat="1" applyFont="1" applyBorder="1" applyAlignment="1">
      <alignment vertical="center"/>
    </xf>
    <xf numFmtId="2" fontId="16" fillId="0" borderId="27" xfId="0" applyNumberFormat="1" applyFont="1" applyBorder="1" applyAlignment="1">
      <alignment horizontal="center" vertical="center"/>
    </xf>
    <xf numFmtId="0" fontId="6" fillId="0" borderId="17" xfId="0" applyFont="1" applyBorder="1" applyAlignment="1">
      <alignment horizontal="right" vertical="center" wrapText="1"/>
    </xf>
    <xf numFmtId="0" fontId="0" fillId="0" borderId="0" xfId="0" applyAlignment="1">
      <alignment vertical="center"/>
    </xf>
    <xf numFmtId="0" fontId="6" fillId="0" borderId="30" xfId="0" applyFont="1" applyBorder="1" applyAlignment="1">
      <alignment horizontal="center"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2" fontId="7" fillId="0" borderId="32" xfId="2" applyNumberFormat="1" applyFont="1" applyBorder="1" applyAlignment="1">
      <alignment horizontal="center" vertical="center" wrapText="1"/>
    </xf>
    <xf numFmtId="0" fontId="7" fillId="0" borderId="32" xfId="2" applyFont="1" applyBorder="1" applyAlignment="1">
      <alignment horizontal="center" vertical="center"/>
    </xf>
    <xf numFmtId="2" fontId="7" fillId="0" borderId="33" xfId="2" applyNumberFormat="1" applyFont="1" applyBorder="1" applyAlignment="1">
      <alignment horizontal="center" vertical="center" wrapText="1"/>
    </xf>
    <xf numFmtId="0" fontId="7" fillId="0" borderId="33" xfId="2" applyFont="1" applyBorder="1" applyAlignment="1">
      <alignment horizontal="center" vertical="center"/>
    </xf>
    <xf numFmtId="0" fontId="7" fillId="0" borderId="33" xfId="2" applyFont="1" applyBorder="1" applyAlignment="1">
      <alignment horizontal="center" vertical="center" wrapText="1"/>
    </xf>
    <xf numFmtId="0" fontId="7" fillId="0" borderId="17" xfId="3" applyFont="1" applyBorder="1" applyAlignment="1">
      <alignment horizontal="left" vertical="center"/>
    </xf>
    <xf numFmtId="0" fontId="6" fillId="0" borderId="17" xfId="0" applyFont="1" applyBorder="1" applyAlignment="1">
      <alignment horizontal="left" vertical="top" wrapText="1"/>
    </xf>
    <xf numFmtId="0" fontId="24" fillId="0" borderId="17" xfId="0" applyFont="1" applyBorder="1" applyAlignment="1">
      <alignment horizontal="left" vertical="center" wrapText="1"/>
    </xf>
    <xf numFmtId="0" fontId="6" fillId="0" borderId="17" xfId="0" applyFont="1" applyBorder="1" applyAlignment="1">
      <alignment horizontal="left" vertical="center"/>
    </xf>
    <xf numFmtId="165" fontId="10" fillId="2" borderId="17" xfId="8" applyFont="1" applyFill="1" applyBorder="1" applyAlignment="1">
      <alignment horizontal="left" vertical="top" wrapText="1"/>
    </xf>
    <xf numFmtId="2" fontId="6" fillId="0" borderId="30" xfId="0" applyNumberFormat="1" applyFont="1" applyBorder="1" applyAlignment="1">
      <alignment horizontal="center" vertical="center"/>
    </xf>
    <xf numFmtId="0" fontId="5" fillId="0" borderId="4" xfId="0" applyFont="1" applyBorder="1" applyAlignment="1">
      <alignment horizontal="left" vertical="top" wrapText="1"/>
    </xf>
    <xf numFmtId="0" fontId="4" fillId="0" borderId="4" xfId="0" applyFont="1" applyBorder="1" applyAlignment="1">
      <alignment horizontal="left" vertical="top" wrapText="1"/>
    </xf>
    <xf numFmtId="0" fontId="10" fillId="0" borderId="4" xfId="0" applyFont="1" applyBorder="1" applyAlignment="1">
      <alignment horizontal="left" vertical="top" wrapText="1"/>
    </xf>
    <xf numFmtId="0" fontId="24" fillId="0" borderId="17" xfId="22" applyFont="1" applyBorder="1" applyAlignment="1">
      <alignment horizontal="left" vertical="top" wrapText="1"/>
    </xf>
    <xf numFmtId="0" fontId="4" fillId="0" borderId="17" xfId="21" applyFont="1" applyBorder="1" applyAlignment="1">
      <alignment horizontal="left" vertical="top" wrapText="1"/>
    </xf>
    <xf numFmtId="0" fontId="6" fillId="0" borderId="5"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xf>
    <xf numFmtId="0" fontId="10" fillId="0" borderId="5" xfId="0" applyFont="1" applyBorder="1" applyAlignment="1">
      <alignment horizontal="left" vertical="top" wrapText="1"/>
    </xf>
    <xf numFmtId="166" fontId="4" fillId="0" borderId="4" xfId="1" applyFont="1" applyBorder="1" applyAlignment="1">
      <alignment horizontal="left" vertical="top"/>
    </xf>
    <xf numFmtId="13" fontId="4" fillId="0" borderId="4" xfId="1" applyNumberFormat="1" applyFont="1" applyBorder="1" applyAlignment="1">
      <alignment horizontal="left" vertical="top" wrapText="1"/>
    </xf>
    <xf numFmtId="0" fontId="4" fillId="0" borderId="4" xfId="3" applyFont="1" applyBorder="1" applyAlignment="1">
      <alignment horizontal="left" vertical="top" wrapText="1"/>
    </xf>
    <xf numFmtId="0" fontId="29" fillId="0" borderId="9" xfId="0" applyFont="1" applyBorder="1" applyAlignment="1">
      <alignment horizontal="left" vertical="top" wrapText="1"/>
    </xf>
    <xf numFmtId="13" fontId="4" fillId="0" borderId="5" xfId="1" applyNumberFormat="1" applyFont="1" applyBorder="1" applyAlignment="1">
      <alignment horizontal="left" vertical="top" wrapText="1"/>
    </xf>
    <xf numFmtId="0" fontId="5" fillId="0" borderId="0" xfId="0" applyFont="1" applyAlignment="1">
      <alignment horizontal="left" vertical="top" wrapText="1"/>
    </xf>
    <xf numFmtId="0" fontId="16" fillId="0" borderId="0" xfId="0" applyFont="1" applyAlignment="1">
      <alignment horizontal="left" vertical="top"/>
    </xf>
    <xf numFmtId="3" fontId="6" fillId="0" borderId="4" xfId="0" applyNumberFormat="1" applyFont="1" applyBorder="1" applyAlignment="1">
      <alignment horizontal="center" vertical="center" wrapText="1"/>
    </xf>
    <xf numFmtId="2" fontId="7" fillId="0" borderId="34" xfId="3" applyNumberFormat="1" applyFont="1" applyBorder="1" applyAlignment="1">
      <alignment horizontal="center" vertical="center" wrapText="1"/>
    </xf>
    <xf numFmtId="0" fontId="7" fillId="0" borderId="34" xfId="3" applyFont="1" applyBorder="1" applyAlignment="1">
      <alignment horizontal="left" vertical="top"/>
    </xf>
    <xf numFmtId="0" fontId="7" fillId="0" borderId="34" xfId="3" applyFont="1" applyBorder="1" applyAlignment="1">
      <alignment horizontal="center" vertical="center" wrapText="1"/>
    </xf>
    <xf numFmtId="2" fontId="7" fillId="2" borderId="4" xfId="8" applyNumberFormat="1" applyFont="1" applyFill="1" applyBorder="1" applyAlignment="1">
      <alignment horizontal="center" vertical="center" wrapText="1"/>
    </xf>
    <xf numFmtId="2" fontId="4" fillId="2" borderId="4" xfId="8" applyNumberFormat="1" applyFont="1" applyFill="1" applyBorder="1" applyAlignment="1">
      <alignment horizontal="center" vertical="center" wrapText="1"/>
    </xf>
    <xf numFmtId="2" fontId="5" fillId="0" borderId="4" xfId="0" applyNumberFormat="1" applyFont="1" applyBorder="1" applyAlignment="1">
      <alignment horizontal="center" vertical="center"/>
    </xf>
    <xf numFmtId="2" fontId="14" fillId="2" borderId="4" xfId="8" applyNumberFormat="1" applyFont="1" applyFill="1" applyBorder="1" applyAlignment="1">
      <alignment horizontal="center" vertical="center" wrapText="1"/>
    </xf>
    <xf numFmtId="2" fontId="6" fillId="0" borderId="4" xfId="0" applyNumberFormat="1" applyFont="1" applyBorder="1" applyAlignment="1">
      <alignment horizontal="center" vertical="center"/>
    </xf>
    <xf numFmtId="2" fontId="6" fillId="0" borderId="35" xfId="0" applyNumberFormat="1" applyFont="1" applyBorder="1" applyAlignment="1">
      <alignment horizontal="center" vertical="center"/>
    </xf>
    <xf numFmtId="2" fontId="4" fillId="0" borderId="4" xfId="3" applyNumberFormat="1" applyFont="1" applyBorder="1" applyAlignment="1">
      <alignment horizontal="center" vertical="center" wrapText="1"/>
    </xf>
    <xf numFmtId="2" fontId="4" fillId="0" borderId="4" xfId="0" applyNumberFormat="1" applyFont="1" applyBorder="1" applyAlignment="1">
      <alignment horizontal="center" vertical="center"/>
    </xf>
    <xf numFmtId="2" fontId="4" fillId="0" borderId="17" xfId="25" applyNumberFormat="1" applyFont="1" applyBorder="1" applyAlignment="1">
      <alignment horizontal="center" vertical="top"/>
    </xf>
    <xf numFmtId="2" fontId="4" fillId="0" borderId="1" xfId="25" applyNumberFormat="1" applyFont="1" applyBorder="1" applyAlignment="1">
      <alignment horizontal="center" vertical="top"/>
    </xf>
    <xf numFmtId="2" fontId="7" fillId="0" borderId="17" xfId="25" applyNumberFormat="1" applyFont="1" applyBorder="1" applyAlignment="1">
      <alignment horizontal="center" vertical="top"/>
    </xf>
    <xf numFmtId="2" fontId="7" fillId="0" borderId="1" xfId="3" applyNumberFormat="1" applyFont="1" applyBorder="1" applyAlignment="1">
      <alignment horizontal="center" vertical="top" wrapText="1"/>
    </xf>
    <xf numFmtId="2" fontId="4" fillId="0" borderId="1" xfId="3" applyNumberFormat="1" applyFont="1" applyBorder="1" applyAlignment="1">
      <alignment horizontal="center" vertical="top" wrapText="1"/>
    </xf>
    <xf numFmtId="166" fontId="5" fillId="0" borderId="32" xfId="1" applyFont="1" applyBorder="1" applyAlignment="1">
      <alignment vertical="center"/>
    </xf>
    <xf numFmtId="0" fontId="10" fillId="0" borderId="17" xfId="25" applyFont="1" applyBorder="1" applyAlignment="1">
      <alignment horizontal="left" vertical="top" wrapText="1"/>
    </xf>
    <xf numFmtId="0" fontId="10" fillId="0" borderId="1" xfId="25" applyFont="1" applyBorder="1" applyAlignment="1">
      <alignment horizontal="left" vertical="top" wrapText="1"/>
    </xf>
    <xf numFmtId="0" fontId="4" fillId="0" borderId="17" xfId="25" applyFont="1" applyBorder="1" applyAlignment="1">
      <alignment horizontal="left" vertical="top" wrapText="1"/>
    </xf>
    <xf numFmtId="0" fontId="6" fillId="0" borderId="5" xfId="0" applyFont="1" applyBorder="1" applyAlignment="1">
      <alignment horizontal="left" vertical="top"/>
    </xf>
    <xf numFmtId="0" fontId="10" fillId="0" borderId="17" xfId="25" applyFont="1" applyFill="1" applyBorder="1" applyAlignment="1">
      <alignment horizontal="left" vertical="top" wrapText="1"/>
    </xf>
    <xf numFmtId="0" fontId="7" fillId="0" borderId="17" xfId="25" applyFont="1" applyBorder="1" applyAlignment="1">
      <alignment horizontal="left" vertical="top" wrapText="1"/>
    </xf>
    <xf numFmtId="0" fontId="4" fillId="0" borderId="1" xfId="25" applyFont="1" applyBorder="1" applyAlignment="1">
      <alignment horizontal="left" vertical="top" wrapText="1"/>
    </xf>
    <xf numFmtId="0" fontId="12" fillId="0" borderId="5" xfId="0" applyFont="1" applyBorder="1" applyAlignment="1">
      <alignment horizontal="left" vertical="top"/>
    </xf>
    <xf numFmtId="0" fontId="7" fillId="0" borderId="5" xfId="3" applyFont="1" applyBorder="1" applyAlignment="1">
      <alignment horizontal="center" vertical="center" wrapText="1"/>
    </xf>
    <xf numFmtId="167" fontId="7" fillId="2" borderId="4" xfId="8" applyNumberFormat="1" applyFont="1" applyFill="1" applyBorder="1" applyAlignment="1">
      <alignment horizontal="center" vertical="center" wrapText="1"/>
    </xf>
    <xf numFmtId="2" fontId="5" fillId="0" borderId="5" xfId="0" applyNumberFormat="1" applyFont="1" applyBorder="1" applyAlignment="1">
      <alignment horizontal="center" vertical="center"/>
    </xf>
    <xf numFmtId="2" fontId="7" fillId="0" borderId="9" xfId="3" applyNumberFormat="1" applyFont="1" applyBorder="1" applyAlignment="1">
      <alignment horizontal="center" vertical="center" wrapText="1"/>
    </xf>
    <xf numFmtId="0" fontId="20" fillId="0" borderId="9" xfId="0" quotePrefix="1" applyFont="1" applyFill="1" applyBorder="1" applyAlignment="1">
      <alignment horizontal="center" vertical="center"/>
    </xf>
    <xf numFmtId="3" fontId="15" fillId="0" borderId="9" xfId="10" applyNumberFormat="1" applyFont="1" applyFill="1" applyBorder="1" applyAlignment="1">
      <alignment horizontal="right" vertical="center"/>
    </xf>
    <xf numFmtId="0" fontId="20" fillId="0" borderId="4" xfId="0" applyFont="1" applyFill="1" applyBorder="1" applyAlignment="1">
      <alignment horizontal="center" vertical="center"/>
    </xf>
    <xf numFmtId="3" fontId="15" fillId="0" borderId="4" xfId="10" applyNumberFormat="1" applyFont="1" applyFill="1" applyBorder="1" applyAlignment="1">
      <alignment horizontal="right" vertical="center"/>
    </xf>
    <xf numFmtId="0" fontId="20" fillId="0" borderId="4" xfId="0" quotePrefix="1" applyFont="1" applyFill="1" applyBorder="1" applyAlignment="1">
      <alignment horizontal="center" vertical="center"/>
    </xf>
    <xf numFmtId="0" fontId="20" fillId="0" borderId="4" xfId="0" applyFont="1" applyFill="1" applyBorder="1" applyAlignment="1">
      <alignment horizontal="center" vertical="center" wrapText="1"/>
    </xf>
    <xf numFmtId="3" fontId="15" fillId="0" borderId="4" xfId="10" applyNumberFormat="1" applyFont="1" applyFill="1" applyBorder="1" applyAlignment="1">
      <alignment horizontal="right" vertical="center" wrapText="1"/>
    </xf>
    <xf numFmtId="0" fontId="15" fillId="0" borderId="5" xfId="0" applyFont="1" applyFill="1" applyBorder="1" applyAlignment="1">
      <alignment horizontal="center" vertical="center"/>
    </xf>
    <xf numFmtId="3" fontId="15" fillId="0" borderId="5" xfId="10" applyNumberFormat="1" applyFont="1" applyFill="1" applyBorder="1" applyAlignment="1">
      <alignment horizontal="right" vertical="center"/>
    </xf>
    <xf numFmtId="3" fontId="0" fillId="0" borderId="25" xfId="0" applyNumberFormat="1" applyBorder="1" applyAlignment="1">
      <alignment horizontal="right"/>
    </xf>
    <xf numFmtId="0" fontId="20" fillId="0" borderId="21" xfId="0" quotePrefix="1" applyFont="1" applyFill="1" applyBorder="1" applyAlignment="1">
      <alignment horizontal="left" vertical="center" wrapText="1"/>
    </xf>
    <xf numFmtId="3" fontId="15" fillId="0" borderId="36" xfId="10" applyNumberFormat="1" applyFont="1" applyFill="1" applyBorder="1" applyAlignment="1">
      <alignment horizontal="right" vertical="center"/>
    </xf>
    <xf numFmtId="2" fontId="16" fillId="0" borderId="27" xfId="0" applyNumberFormat="1" applyFont="1" applyBorder="1" applyAlignment="1">
      <alignment horizontal="center" vertical="center"/>
    </xf>
    <xf numFmtId="166" fontId="7" fillId="0" borderId="32" xfId="1" applyFont="1" applyBorder="1" applyAlignment="1">
      <alignment horizontal="center" vertical="center" wrapText="1"/>
    </xf>
    <xf numFmtId="0" fontId="6" fillId="0" borderId="17" xfId="0" applyFont="1" applyBorder="1" applyAlignment="1">
      <alignment horizontal="center" wrapText="1"/>
    </xf>
    <xf numFmtId="2" fontId="4" fillId="0" borderId="30" xfId="0" applyNumberFormat="1" applyFont="1" applyBorder="1" applyAlignment="1">
      <alignment horizontal="center" vertical="center"/>
    </xf>
    <xf numFmtId="0" fontId="4" fillId="0" borderId="30" xfId="0" applyFont="1" applyBorder="1" applyAlignment="1">
      <alignment horizontal="left" vertical="center" wrapText="1"/>
    </xf>
    <xf numFmtId="0" fontId="4" fillId="0" borderId="30" xfId="0" applyFont="1" applyBorder="1" applyAlignment="1">
      <alignment horizontal="center" wrapText="1"/>
    </xf>
    <xf numFmtId="0" fontId="4" fillId="0" borderId="30" xfId="0" applyFont="1" applyBorder="1" applyAlignment="1">
      <alignment horizontal="left" wrapText="1"/>
    </xf>
    <xf numFmtId="0" fontId="6" fillId="0" borderId="30" xfId="0" applyFont="1" applyBorder="1" applyAlignment="1">
      <alignment horizontal="center" wrapText="1"/>
    </xf>
    <xf numFmtId="0" fontId="24" fillId="0" borderId="17" xfId="22" applyFont="1" applyBorder="1" applyAlignment="1">
      <alignment horizontal="left" vertical="center" wrapText="1"/>
    </xf>
    <xf numFmtId="0" fontId="24" fillId="0" borderId="17" xfId="22" applyFont="1" applyBorder="1" applyAlignment="1">
      <alignment horizontal="center" wrapText="1"/>
    </xf>
    <xf numFmtId="0" fontId="4" fillId="0" borderId="17" xfId="21" applyFont="1" applyBorder="1" applyAlignment="1">
      <alignment horizontal="left" vertical="center" wrapText="1"/>
    </xf>
    <xf numFmtId="0" fontId="24" fillId="0" borderId="30" xfId="22" applyFont="1" applyBorder="1" applyAlignment="1">
      <alignment horizontal="center" wrapText="1"/>
    </xf>
    <xf numFmtId="166" fontId="7" fillId="0" borderId="32" xfId="1" applyFont="1" applyBorder="1" applyAlignment="1">
      <alignment horizontal="center" vertical="center" wrapText="1"/>
    </xf>
    <xf numFmtId="0" fontId="6" fillId="0" borderId="4" xfId="0" applyFont="1" applyFill="1" applyBorder="1" applyAlignment="1">
      <alignment horizontal="left" vertical="center" wrapText="1"/>
    </xf>
    <xf numFmtId="0" fontId="16" fillId="0" borderId="0" xfId="0" applyFont="1" applyAlignment="1">
      <alignment horizontal="center"/>
    </xf>
    <xf numFmtId="0" fontId="10" fillId="0" borderId="4" xfId="0" applyFont="1" applyBorder="1" applyAlignment="1">
      <alignment horizontal="left" vertical="center" wrapText="1"/>
    </xf>
    <xf numFmtId="0" fontId="6" fillId="3" borderId="17" xfId="0" applyFont="1" applyFill="1" applyBorder="1" applyAlignment="1">
      <alignment horizontal="left" vertical="center" wrapText="1"/>
    </xf>
    <xf numFmtId="0" fontId="6" fillId="3" borderId="17" xfId="0" applyFont="1" applyFill="1" applyBorder="1" applyAlignment="1">
      <alignment vertical="center"/>
    </xf>
    <xf numFmtId="0" fontId="6" fillId="0" borderId="17" xfId="0" applyFont="1" applyFill="1" applyBorder="1" applyAlignment="1">
      <alignment vertical="center"/>
    </xf>
    <xf numFmtId="0" fontId="6" fillId="3" borderId="17" xfId="0" applyFont="1" applyFill="1" applyBorder="1" applyAlignment="1">
      <alignment vertical="center" wrapText="1"/>
    </xf>
    <xf numFmtId="0" fontId="6" fillId="3" borderId="17" xfId="0" applyFont="1" applyFill="1" applyBorder="1" applyAlignment="1">
      <alignment horizontal="center" vertical="center"/>
    </xf>
    <xf numFmtId="0" fontId="4" fillId="3" borderId="17" xfId="0" applyFont="1" applyFill="1" applyBorder="1" applyAlignment="1">
      <alignment horizontal="left" vertical="center" wrapText="1"/>
    </xf>
    <xf numFmtId="165" fontId="10" fillId="3" borderId="17" xfId="8"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0" borderId="17" xfId="0" applyFont="1" applyFill="1" applyBorder="1" applyAlignment="1">
      <alignment horizontal="left" vertical="center" wrapText="1"/>
    </xf>
    <xf numFmtId="166" fontId="4" fillId="3" borderId="17" xfId="1" applyFont="1" applyFill="1" applyBorder="1" applyAlignment="1">
      <alignment horizontal="center" vertical="center"/>
    </xf>
    <xf numFmtId="0" fontId="6" fillId="0" borderId="17" xfId="0" applyFont="1" applyFill="1" applyBorder="1" applyAlignment="1">
      <alignment horizontal="center" vertical="center" wrapText="1"/>
    </xf>
    <xf numFmtId="0" fontId="6" fillId="3" borderId="17" xfId="0" applyFont="1" applyFill="1" applyBorder="1" applyAlignment="1">
      <alignment horizontal="left" wrapText="1"/>
    </xf>
    <xf numFmtId="0" fontId="6" fillId="3" borderId="17" xfId="0" applyFont="1" applyFill="1" applyBorder="1" applyAlignment="1">
      <alignment horizontal="right" wrapText="1"/>
    </xf>
    <xf numFmtId="0" fontId="4" fillId="3" borderId="17" xfId="0" applyFont="1" applyFill="1" applyBorder="1" applyAlignment="1">
      <alignment horizontal="center" vertical="center" wrapText="1"/>
    </xf>
    <xf numFmtId="0" fontId="6" fillId="3" borderId="17" xfId="0" applyFont="1" applyFill="1" applyBorder="1" applyAlignment="1">
      <alignment horizontal="center" wrapText="1"/>
    </xf>
    <xf numFmtId="166" fontId="7" fillId="0" borderId="32" xfId="1" applyFont="1" applyBorder="1" applyAlignment="1">
      <alignment horizontal="center" vertical="center" wrapText="1"/>
    </xf>
    <xf numFmtId="0" fontId="24" fillId="3" borderId="17"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4" fillId="3" borderId="4" xfId="0" applyFont="1" applyFill="1" applyBorder="1" applyAlignment="1">
      <alignment horizontal="left" vertical="top"/>
    </xf>
    <xf numFmtId="166" fontId="7" fillId="0" borderId="32" xfId="1" applyFont="1" applyBorder="1" applyAlignment="1">
      <alignment horizontal="center" vertical="center" wrapText="1"/>
    </xf>
    <xf numFmtId="0" fontId="4" fillId="0" borderId="17" xfId="0" applyFont="1" applyFill="1" applyBorder="1" applyAlignment="1">
      <alignment horizontal="left" vertical="center" wrapText="1"/>
    </xf>
    <xf numFmtId="2" fontId="6" fillId="0" borderId="0" xfId="0" applyNumberFormat="1" applyFont="1" applyBorder="1" applyAlignment="1">
      <alignment horizontal="center" vertical="center"/>
    </xf>
    <xf numFmtId="0" fontId="6" fillId="0" borderId="17" xfId="0" applyFont="1" applyFill="1" applyBorder="1" applyAlignment="1">
      <alignment horizontal="left" wrapText="1"/>
    </xf>
    <xf numFmtId="0" fontId="13" fillId="0" borderId="17" xfId="3" applyFont="1" applyFill="1" applyBorder="1" applyAlignment="1">
      <alignment horizontal="center" vertical="center"/>
    </xf>
    <xf numFmtId="0" fontId="7" fillId="0" borderId="30" xfId="3" applyFont="1" applyBorder="1" applyAlignment="1">
      <alignment horizontal="center" vertical="center" wrapText="1"/>
    </xf>
    <xf numFmtId="0" fontId="4" fillId="0" borderId="30" xfId="3" applyFont="1" applyBorder="1" applyAlignment="1">
      <alignment horizontal="center" vertical="center" wrapText="1"/>
    </xf>
    <xf numFmtId="0" fontId="6" fillId="0" borderId="33" xfId="0" applyFont="1" applyBorder="1" applyAlignment="1">
      <alignment horizontal="left" wrapText="1"/>
    </xf>
    <xf numFmtId="0" fontId="6" fillId="0" borderId="33" xfId="0" applyFont="1" applyBorder="1" applyAlignment="1">
      <alignment horizontal="center" vertical="center" wrapText="1"/>
    </xf>
    <xf numFmtId="166" fontId="4" fillId="0" borderId="17" xfId="1" applyFont="1" applyFill="1" applyBorder="1" applyAlignment="1">
      <alignment horizontal="center" vertical="center"/>
    </xf>
    <xf numFmtId="0" fontId="6" fillId="3" borderId="17" xfId="0" applyFont="1" applyFill="1" applyBorder="1" applyAlignment="1">
      <alignment horizontal="left" vertical="center"/>
    </xf>
    <xf numFmtId="0" fontId="6" fillId="3" borderId="4" xfId="0" applyFont="1" applyFill="1" applyBorder="1" applyAlignment="1">
      <alignment horizontal="center" vertical="center"/>
    </xf>
    <xf numFmtId="0" fontId="6" fillId="3" borderId="4" xfId="0" applyFont="1" applyFill="1" applyBorder="1" applyAlignment="1">
      <alignment horizontal="left" vertical="top" wrapText="1"/>
    </xf>
    <xf numFmtId="2" fontId="6"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6" fillId="3" borderId="1" xfId="0" applyFont="1" applyFill="1" applyBorder="1" applyAlignment="1">
      <alignment vertical="center"/>
    </xf>
    <xf numFmtId="166" fontId="4" fillId="0" borderId="1" xfId="1" applyFont="1" applyBorder="1" applyAlignment="1">
      <alignment horizontal="center" vertical="center"/>
    </xf>
    <xf numFmtId="166" fontId="4" fillId="0" borderId="1" xfId="1" applyFont="1" applyBorder="1" applyAlignment="1">
      <alignment horizontal="center" vertical="center" wrapText="1"/>
    </xf>
    <xf numFmtId="0" fontId="4" fillId="3" borderId="4" xfId="0" applyFont="1" applyFill="1" applyBorder="1" applyAlignment="1">
      <alignment horizontal="left" vertical="top" wrapText="1"/>
    </xf>
    <xf numFmtId="0" fontId="4" fillId="0" borderId="1" xfId="0" applyFont="1" applyBorder="1" applyAlignment="1">
      <alignment horizontal="center" vertical="center" wrapText="1"/>
    </xf>
    <xf numFmtId="0" fontId="6" fillId="3" borderId="1" xfId="0" applyFont="1" applyFill="1" applyBorder="1" applyAlignment="1">
      <alignment horizontal="center" vertical="center"/>
    </xf>
    <xf numFmtId="2" fontId="5" fillId="3" borderId="4" xfId="0" applyNumberFormat="1" applyFont="1" applyFill="1" applyBorder="1" applyAlignment="1">
      <alignment horizontal="center" vertical="center"/>
    </xf>
    <xf numFmtId="0" fontId="4" fillId="3" borderId="17" xfId="21" applyFont="1" applyFill="1" applyBorder="1" applyAlignment="1">
      <alignment horizontal="left" vertical="top" wrapText="1"/>
    </xf>
    <xf numFmtId="0" fontId="6" fillId="3" borderId="5" xfId="0" applyFont="1" applyFill="1" applyBorder="1" applyAlignment="1">
      <alignment horizontal="left" vertical="top" wrapText="1"/>
    </xf>
    <xf numFmtId="166" fontId="4" fillId="3" borderId="4" xfId="1" applyFont="1" applyFill="1" applyBorder="1" applyAlignment="1">
      <alignment horizontal="center" vertical="center"/>
    </xf>
    <xf numFmtId="13" fontId="4" fillId="3" borderId="4" xfId="1" applyNumberFormat="1" applyFont="1" applyFill="1" applyBorder="1" applyAlignment="1">
      <alignment horizontal="left" vertical="top" wrapText="1"/>
    </xf>
    <xf numFmtId="0" fontId="4" fillId="3" borderId="4" xfId="2" applyFont="1" applyFill="1" applyBorder="1" applyAlignment="1">
      <alignment horizontal="center" vertical="center" wrapText="1"/>
    </xf>
    <xf numFmtId="0" fontId="6" fillId="0" borderId="1" xfId="0" applyFont="1" applyBorder="1" applyAlignment="1">
      <alignment horizontal="center" vertical="center" wrapText="1"/>
    </xf>
    <xf numFmtId="0" fontId="4" fillId="3" borderId="17" xfId="0" applyFont="1" applyFill="1" applyBorder="1" applyAlignment="1">
      <alignment horizontal="left" vertical="top" wrapText="1"/>
    </xf>
    <xf numFmtId="0" fontId="4" fillId="3" borderId="5" xfId="0" applyFont="1" applyFill="1" applyBorder="1" applyAlignment="1">
      <alignment horizontal="left" vertical="top" wrapText="1"/>
    </xf>
    <xf numFmtId="0" fontId="6" fillId="0" borderId="5" xfId="0" applyFont="1" applyFill="1" applyBorder="1" applyAlignment="1">
      <alignment horizontal="left" vertical="top" wrapText="1"/>
    </xf>
    <xf numFmtId="0" fontId="4" fillId="0" borderId="17" xfId="25" applyFont="1" applyFill="1" applyBorder="1" applyAlignment="1">
      <alignment horizontal="left" vertical="top" wrapText="1"/>
    </xf>
    <xf numFmtId="0" fontId="6" fillId="0" borderId="5" xfId="0" applyFont="1" applyFill="1" applyBorder="1" applyAlignment="1">
      <alignment horizontal="left" vertical="top"/>
    </xf>
    <xf numFmtId="0" fontId="6" fillId="0" borderId="5" xfId="0" applyFont="1" applyFill="1" applyBorder="1" applyAlignment="1">
      <alignment horizontal="center" vertical="center"/>
    </xf>
    <xf numFmtId="165" fontId="4" fillId="0" borderId="4" xfId="8" applyFont="1" applyFill="1" applyBorder="1" applyAlignment="1">
      <alignment horizontal="left" vertical="top" wrapText="1"/>
    </xf>
    <xf numFmtId="2" fontId="5"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7" fillId="3" borderId="9" xfId="3" applyFont="1" applyFill="1" applyBorder="1" applyAlignment="1">
      <alignment horizontal="left" vertical="center"/>
    </xf>
    <xf numFmtId="0" fontId="12" fillId="3" borderId="35" xfId="0" applyFont="1" applyFill="1" applyBorder="1" applyAlignment="1">
      <alignment horizontal="left" vertical="center"/>
    </xf>
    <xf numFmtId="0" fontId="12" fillId="3" borderId="4" xfId="0" applyFont="1" applyFill="1" applyBorder="1" applyAlignment="1">
      <alignment horizontal="left" vertical="center"/>
    </xf>
    <xf numFmtId="0" fontId="6" fillId="0" borderId="17" xfId="0" applyFont="1" applyFill="1" applyBorder="1" applyAlignment="1">
      <alignment horizontal="center" wrapText="1"/>
    </xf>
    <xf numFmtId="166" fontId="4" fillId="0" borderId="4" xfId="1" applyFont="1" applyFill="1" applyBorder="1" applyAlignment="1">
      <alignment horizontal="center" vertical="center"/>
    </xf>
    <xf numFmtId="166" fontId="7" fillId="0" borderId="32" xfId="1" applyFont="1" applyBorder="1" applyAlignment="1">
      <alignment horizontal="center" vertical="center" wrapText="1"/>
    </xf>
    <xf numFmtId="2" fontId="6" fillId="0" borderId="17" xfId="0" applyNumberFormat="1" applyFont="1" applyFill="1" applyBorder="1" applyAlignment="1">
      <alignment horizontal="center" vertical="center"/>
    </xf>
    <xf numFmtId="0" fontId="6" fillId="0" borderId="17" xfId="0" applyFont="1" applyFill="1" applyBorder="1" applyAlignment="1">
      <alignment horizontal="center" vertical="center"/>
    </xf>
    <xf numFmtId="166" fontId="4" fillId="0" borderId="17" xfId="1" applyFont="1" applyFill="1" applyBorder="1" applyAlignment="1">
      <alignment horizontal="center" vertical="center" wrapText="1"/>
    </xf>
    <xf numFmtId="0" fontId="5" fillId="0" borderId="17" xfId="0" applyFont="1" applyFill="1" applyBorder="1" applyAlignment="1">
      <alignment vertical="center"/>
    </xf>
    <xf numFmtId="0" fontId="6" fillId="0" borderId="17" xfId="0" applyFont="1" applyFill="1" applyBorder="1" applyAlignment="1">
      <alignment horizontal="right" vertical="center" wrapText="1"/>
    </xf>
    <xf numFmtId="0" fontId="7" fillId="0" borderId="17" xfId="3" applyFont="1" applyFill="1" applyBorder="1" applyAlignment="1">
      <alignment horizontal="center" vertical="center" wrapText="1"/>
    </xf>
    <xf numFmtId="0" fontId="6" fillId="0" borderId="30" xfId="0" applyFont="1" applyFill="1" applyBorder="1" applyAlignment="1">
      <alignment vertical="center"/>
    </xf>
    <xf numFmtId="0" fontId="6" fillId="0" borderId="33" xfId="0" applyFont="1" applyFill="1" applyBorder="1" applyAlignment="1">
      <alignment vertical="center"/>
    </xf>
    <xf numFmtId="0" fontId="0" fillId="0" borderId="17" xfId="0" applyFill="1" applyBorder="1" applyAlignment="1">
      <alignment vertical="center"/>
    </xf>
    <xf numFmtId="0" fontId="6" fillId="0" borderId="30" xfId="0" applyFont="1" applyFill="1" applyBorder="1" applyAlignment="1">
      <alignment horizontal="left" vertical="center" wrapText="1"/>
    </xf>
    <xf numFmtId="0" fontId="16" fillId="0" borderId="0" xfId="0" applyFont="1" applyFill="1" applyAlignment="1">
      <alignment vertical="center"/>
    </xf>
    <xf numFmtId="0" fontId="6" fillId="0" borderId="17" xfId="0" applyFont="1" applyFill="1" applyBorder="1" applyAlignment="1">
      <alignment vertical="top"/>
    </xf>
    <xf numFmtId="0" fontId="4" fillId="0" borderId="17" xfId="0" applyFont="1" applyFill="1" applyBorder="1" applyAlignment="1">
      <alignment horizontal="left" vertical="center"/>
    </xf>
    <xf numFmtId="0" fontId="6" fillId="0" borderId="17" xfId="0" applyFont="1" applyFill="1" applyBorder="1" applyAlignment="1">
      <alignment horizontal="left" vertical="center"/>
    </xf>
    <xf numFmtId="0" fontId="5" fillId="0" borderId="17" xfId="0" applyFont="1" applyBorder="1" applyAlignment="1">
      <alignment vertical="center"/>
    </xf>
    <xf numFmtId="166" fontId="4" fillId="0" borderId="5" xfId="1" applyFont="1" applyBorder="1" applyAlignment="1">
      <alignment horizontal="center" vertical="center"/>
    </xf>
    <xf numFmtId="166" fontId="7" fillId="0" borderId="32" xfId="1" applyFont="1" applyBorder="1" applyAlignment="1">
      <alignment horizontal="center" vertical="center" wrapText="1"/>
    </xf>
    <xf numFmtId="0" fontId="10" fillId="0" borderId="1" xfId="0" applyFont="1" applyBorder="1" applyAlignment="1">
      <alignment horizontal="left" vertical="center" wrapText="1"/>
    </xf>
    <xf numFmtId="0" fontId="16" fillId="0" borderId="0" xfId="0" applyFont="1" applyFill="1"/>
    <xf numFmtId="0" fontId="6" fillId="0" borderId="33" xfId="0" applyFont="1" applyBorder="1" applyAlignment="1">
      <alignment vertical="center"/>
    </xf>
    <xf numFmtId="0" fontId="4" fillId="3" borderId="30" xfId="3" applyFont="1" applyFill="1" applyBorder="1" applyAlignment="1">
      <alignment horizontal="right" vertical="center" wrapText="1"/>
    </xf>
    <xf numFmtId="166" fontId="7" fillId="0" borderId="32" xfId="1" applyFont="1" applyBorder="1" applyAlignment="1">
      <alignment horizontal="center" vertical="center" wrapText="1"/>
    </xf>
    <xf numFmtId="0" fontId="4" fillId="3" borderId="17" xfId="0" applyFont="1" applyFill="1" applyBorder="1" applyAlignment="1">
      <alignment vertical="center" wrapText="1"/>
    </xf>
    <xf numFmtId="0" fontId="6" fillId="3" borderId="17" xfId="0" applyFont="1" applyFill="1" applyBorder="1" applyAlignment="1">
      <alignment horizontal="right" vertical="center" wrapText="1"/>
    </xf>
    <xf numFmtId="167" fontId="6" fillId="0" borderId="17" xfId="0" applyNumberFormat="1" applyFont="1" applyBorder="1" applyAlignment="1">
      <alignment vertical="center"/>
    </xf>
    <xf numFmtId="0" fontId="6" fillId="3" borderId="17" xfId="0" applyFont="1" applyFill="1" applyBorder="1" applyAlignment="1">
      <alignment horizontal="left"/>
    </xf>
    <xf numFmtId="0" fontId="5" fillId="0" borderId="4" xfId="0" applyFont="1" applyBorder="1" applyAlignment="1">
      <alignment horizontal="center" vertical="center"/>
    </xf>
    <xf numFmtId="0" fontId="5" fillId="3" borderId="17" xfId="0" applyFont="1" applyFill="1" applyBorder="1" applyAlignment="1">
      <alignment vertical="center"/>
    </xf>
    <xf numFmtId="0" fontId="6" fillId="3" borderId="4" xfId="0" applyFont="1" applyFill="1" applyBorder="1" applyAlignment="1">
      <alignment horizontal="left" vertical="center"/>
    </xf>
    <xf numFmtId="0" fontId="7" fillId="0" borderId="34" xfId="3" applyFont="1" applyBorder="1" applyAlignment="1">
      <alignment horizontal="left" vertical="center"/>
    </xf>
    <xf numFmtId="0" fontId="6" fillId="0" borderId="17" xfId="0" applyFont="1" applyBorder="1" applyAlignment="1">
      <alignment horizontal="left"/>
    </xf>
    <xf numFmtId="0" fontId="6" fillId="3" borderId="1" xfId="0" applyFont="1" applyFill="1" applyBorder="1" applyAlignment="1">
      <alignment horizontal="left" vertical="center"/>
    </xf>
    <xf numFmtId="3" fontId="4" fillId="0" borderId="4" xfId="1" applyNumberFormat="1" applyFont="1" applyBorder="1" applyAlignment="1">
      <alignment horizontal="right" vertical="center" wrapText="1"/>
    </xf>
    <xf numFmtId="166" fontId="4" fillId="0" borderId="4" xfId="1" applyFont="1" applyBorder="1" applyAlignment="1">
      <alignment horizontal="right" vertical="center" wrapText="1"/>
    </xf>
    <xf numFmtId="2" fontId="6" fillId="0" borderId="5" xfId="0" applyNumberFormat="1" applyFont="1" applyBorder="1" applyAlignment="1">
      <alignment horizontal="center" vertical="center"/>
    </xf>
    <xf numFmtId="2" fontId="4" fillId="3" borderId="4" xfId="8" applyNumberFormat="1" applyFont="1" applyFill="1" applyBorder="1" applyAlignment="1">
      <alignment horizontal="center" vertical="center" wrapText="1"/>
    </xf>
    <xf numFmtId="0" fontId="6" fillId="3" borderId="4" xfId="0" applyFont="1" applyFill="1" applyBorder="1" applyAlignment="1">
      <alignment horizontal="left" vertical="center" wrapText="1"/>
    </xf>
    <xf numFmtId="166" fontId="4" fillId="3" borderId="4" xfId="1" applyFont="1" applyFill="1" applyBorder="1" applyAlignment="1">
      <alignment horizontal="center" vertical="center" wrapText="1"/>
    </xf>
    <xf numFmtId="0" fontId="16" fillId="3" borderId="0" xfId="0" applyFont="1" applyFill="1"/>
    <xf numFmtId="167" fontId="4" fillId="2" borderId="1" xfId="8"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3" fontId="16" fillId="0" borderId="0" xfId="0" applyNumberFormat="1" applyFont="1" applyAlignment="1">
      <alignment vertical="center"/>
    </xf>
    <xf numFmtId="43" fontId="16" fillId="0" borderId="0" xfId="0" applyNumberFormat="1" applyFont="1"/>
    <xf numFmtId="166" fontId="7" fillId="0" borderId="32" xfId="1" applyFont="1" applyBorder="1" applyAlignment="1">
      <alignment horizontal="center" vertical="center" wrapText="1"/>
    </xf>
    <xf numFmtId="166" fontId="7" fillId="0" borderId="32" xfId="1" applyFont="1" applyBorder="1" applyAlignment="1">
      <alignment horizontal="center" vertical="center" wrapText="1"/>
    </xf>
    <xf numFmtId="43" fontId="0" fillId="0" borderId="0" xfId="0" applyNumberFormat="1" applyAlignment="1">
      <alignment vertical="center"/>
    </xf>
    <xf numFmtId="1" fontId="6" fillId="0" borderId="4"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166" fontId="7" fillId="0" borderId="32" xfId="1" applyFont="1" applyBorder="1" applyAlignment="1">
      <alignment horizontal="center" vertical="center" wrapText="1"/>
    </xf>
    <xf numFmtId="166" fontId="7" fillId="0" borderId="32" xfId="1" applyFont="1" applyBorder="1" applyAlignment="1">
      <alignment horizontal="center" vertical="center" wrapText="1"/>
    </xf>
    <xf numFmtId="169" fontId="6" fillId="0" borderId="17" xfId="0" applyNumberFormat="1" applyFont="1" applyBorder="1" applyAlignment="1">
      <alignment horizontal="center" vertical="center"/>
    </xf>
    <xf numFmtId="2" fontId="6" fillId="0" borderId="17" xfId="0" applyNumberFormat="1" applyFont="1" applyBorder="1" applyAlignment="1">
      <alignment horizontal="center" vertical="center" wrapText="1"/>
    </xf>
    <xf numFmtId="0" fontId="6" fillId="0" borderId="1" xfId="0" applyFont="1" applyBorder="1" applyAlignment="1">
      <alignment horizontal="left" vertical="top" wrapText="1"/>
    </xf>
    <xf numFmtId="169" fontId="6" fillId="0" borderId="4" xfId="0" applyNumberFormat="1" applyFont="1" applyBorder="1" applyAlignment="1">
      <alignment horizontal="center" vertical="center"/>
    </xf>
    <xf numFmtId="169" fontId="6" fillId="0" borderId="1" xfId="0" applyNumberFormat="1" applyFont="1" applyBorder="1" applyAlignment="1">
      <alignment horizontal="center" vertical="center"/>
    </xf>
    <xf numFmtId="1" fontId="4" fillId="3" borderId="4" xfId="0" applyNumberFormat="1" applyFont="1" applyFill="1" applyBorder="1" applyAlignment="1">
      <alignment horizontal="center" vertical="center"/>
    </xf>
    <xf numFmtId="2" fontId="6" fillId="3" borderId="17" xfId="0" applyNumberFormat="1" applyFont="1" applyFill="1" applyBorder="1" applyAlignment="1">
      <alignment horizontal="center" vertical="center"/>
    </xf>
    <xf numFmtId="166" fontId="4" fillId="3" borderId="17" xfId="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16" fillId="3" borderId="0" xfId="0" applyFont="1" applyFill="1" applyAlignment="1">
      <alignment vertical="center"/>
    </xf>
    <xf numFmtId="43" fontId="16" fillId="3" borderId="0" xfId="0" applyNumberFormat="1" applyFont="1" applyFill="1" applyAlignment="1">
      <alignment vertical="center"/>
    </xf>
    <xf numFmtId="0" fontId="6" fillId="0" borderId="17" xfId="0" applyFont="1" applyFill="1" applyBorder="1" applyAlignment="1">
      <alignment horizontal="left" vertical="top" wrapText="1"/>
    </xf>
    <xf numFmtId="166" fontId="7" fillId="0" borderId="32" xfId="1" applyFont="1" applyBorder="1" applyAlignment="1">
      <alignment horizontal="center" vertical="center" wrapText="1"/>
    </xf>
    <xf numFmtId="0" fontId="6" fillId="3" borderId="30" xfId="0" applyFont="1" applyFill="1" applyBorder="1" applyAlignment="1">
      <alignment horizontal="left" vertical="center" wrapText="1"/>
    </xf>
    <xf numFmtId="0" fontId="6" fillId="3" borderId="30" xfId="0" applyFont="1" applyFill="1" applyBorder="1" applyAlignment="1">
      <alignment horizontal="right" vertical="center" wrapText="1"/>
    </xf>
    <xf numFmtId="0" fontId="6" fillId="0" borderId="30" xfId="0" applyFont="1" applyFill="1" applyBorder="1" applyAlignment="1">
      <alignment horizontal="right" vertical="center" wrapText="1"/>
    </xf>
    <xf numFmtId="0" fontId="6" fillId="3" borderId="30" xfId="0" applyFont="1" applyFill="1" applyBorder="1" applyAlignment="1">
      <alignment horizontal="center" vertical="center" wrapText="1"/>
    </xf>
    <xf numFmtId="0" fontId="28" fillId="0" borderId="0" xfId="0" applyFont="1" applyAlignment="1">
      <alignment vertical="center"/>
    </xf>
    <xf numFmtId="0" fontId="6" fillId="0" borderId="17" xfId="0" applyFont="1" applyBorder="1" applyAlignment="1">
      <alignment horizontal="right" vertical="center"/>
    </xf>
    <xf numFmtId="166" fontId="7" fillId="0" borderId="32" xfId="1" applyFont="1" applyBorder="1" applyAlignment="1">
      <alignment horizontal="center" vertical="center" wrapText="1"/>
    </xf>
    <xf numFmtId="166" fontId="7" fillId="0" borderId="32" xfId="1" applyFont="1" applyBorder="1" applyAlignment="1">
      <alignment horizontal="center" vertical="center" wrapText="1"/>
    </xf>
    <xf numFmtId="0" fontId="4" fillId="3" borderId="9" xfId="3" applyFont="1" applyFill="1" applyBorder="1" applyAlignment="1">
      <alignment horizontal="left" vertical="center"/>
    </xf>
    <xf numFmtId="2" fontId="4" fillId="0" borderId="9" xfId="3" applyNumberFormat="1" applyFont="1" applyBorder="1" applyAlignment="1">
      <alignment horizontal="center" vertical="center" wrapText="1"/>
    </xf>
    <xf numFmtId="0" fontId="4" fillId="3" borderId="9" xfId="3" applyFont="1" applyFill="1" applyBorder="1" applyAlignment="1">
      <alignment horizontal="left" vertical="center" wrapText="1"/>
    </xf>
    <xf numFmtId="0" fontId="4" fillId="0" borderId="9" xfId="3" applyFont="1" applyBorder="1" applyAlignment="1">
      <alignment horizontal="center" vertical="center" wrapText="1"/>
    </xf>
    <xf numFmtId="166" fontId="7" fillId="0" borderId="32" xfId="1" applyFont="1" applyBorder="1" applyAlignment="1">
      <alignment horizontal="center" vertical="center" wrapText="1"/>
    </xf>
    <xf numFmtId="43" fontId="6" fillId="0" borderId="4" xfId="0" applyNumberFormat="1" applyFont="1" applyBorder="1" applyAlignment="1">
      <alignment horizontal="center" vertical="center" wrapText="1"/>
    </xf>
    <xf numFmtId="0" fontId="4" fillId="3" borderId="1" xfId="0" applyFont="1" applyFill="1" applyBorder="1" applyAlignment="1">
      <alignment horizontal="left" vertical="top"/>
    </xf>
    <xf numFmtId="0" fontId="6" fillId="0" borderId="4" xfId="0" applyNumberFormat="1" applyFont="1" applyBorder="1" applyAlignment="1">
      <alignment horizontal="center" vertical="center"/>
    </xf>
    <xf numFmtId="2" fontId="16" fillId="0" borderId="27" xfId="0" applyNumberFormat="1" applyFont="1" applyBorder="1" applyAlignment="1">
      <alignment horizontal="center" vertical="center"/>
    </xf>
    <xf numFmtId="166" fontId="7" fillId="0" borderId="32" xfId="1" applyFont="1" applyBorder="1" applyAlignment="1">
      <alignment horizontal="center" vertical="center" wrapText="1"/>
    </xf>
    <xf numFmtId="0" fontId="4" fillId="0" borderId="4" xfId="1" applyNumberFormat="1" applyFont="1" applyBorder="1" applyAlignment="1">
      <alignment horizontal="left" vertical="top" wrapText="1"/>
    </xf>
    <xf numFmtId="0" fontId="4" fillId="3" borderId="1" xfId="0" applyFont="1" applyFill="1" applyBorder="1" applyAlignment="1">
      <alignment horizontal="left" vertical="top" wrapText="1"/>
    </xf>
    <xf numFmtId="0" fontId="6" fillId="0" borderId="5" xfId="0" applyFont="1" applyBorder="1" applyAlignment="1">
      <alignment horizontal="center" vertical="center" wrapText="1"/>
    </xf>
    <xf numFmtId="0" fontId="6" fillId="3" borderId="5" xfId="0" applyFont="1" applyFill="1" applyBorder="1" applyAlignment="1">
      <alignment horizontal="left" vertical="center"/>
    </xf>
    <xf numFmtId="167" fontId="6" fillId="0" borderId="5" xfId="0" applyNumberFormat="1" applyFont="1" applyBorder="1" applyAlignment="1">
      <alignment horizontal="center" vertical="center"/>
    </xf>
    <xf numFmtId="168" fontId="4" fillId="0" borderId="4" xfId="1" applyNumberFormat="1" applyFont="1" applyBorder="1" applyAlignment="1">
      <alignment horizontal="center" vertical="center" wrapText="1"/>
    </xf>
    <xf numFmtId="165" fontId="4" fillId="0" borderId="1" xfId="8" applyFont="1" applyFill="1" applyBorder="1" applyAlignment="1">
      <alignment horizontal="left" vertical="top" wrapText="1"/>
    </xf>
    <xf numFmtId="165" fontId="4" fillId="2" borderId="1" xfId="8" applyFont="1" applyFill="1" applyBorder="1" applyAlignment="1">
      <alignment horizontal="left" vertical="top" wrapText="1"/>
    </xf>
    <xf numFmtId="166" fontId="7" fillId="0" borderId="33" xfId="1" applyFont="1" applyBorder="1" applyAlignment="1">
      <alignment horizontal="center" vertical="center" wrapText="1"/>
    </xf>
    <xf numFmtId="166" fontId="7" fillId="0" borderId="32" xfId="1" applyFont="1" applyBorder="1" applyAlignment="1">
      <alignment horizontal="center" vertical="center" wrapText="1"/>
    </xf>
    <xf numFmtId="2" fontId="6" fillId="4" borderId="17" xfId="0" applyNumberFormat="1" applyFont="1" applyFill="1" applyBorder="1" applyAlignment="1">
      <alignment horizontal="center" vertical="center"/>
    </xf>
    <xf numFmtId="0" fontId="6" fillId="4" borderId="17" xfId="0" applyFont="1" applyFill="1" applyBorder="1" applyAlignment="1">
      <alignment horizontal="left"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right" vertical="center" wrapText="1"/>
    </xf>
    <xf numFmtId="0" fontId="6" fillId="4" borderId="17" xfId="0" applyFont="1" applyFill="1" applyBorder="1" applyAlignment="1">
      <alignment horizontal="left" vertical="center"/>
    </xf>
    <xf numFmtId="166" fontId="4" fillId="4" borderId="17" xfId="1" applyFont="1" applyFill="1" applyBorder="1" applyAlignment="1">
      <alignment horizontal="center" vertical="center" wrapText="1"/>
    </xf>
    <xf numFmtId="2" fontId="4" fillId="4" borderId="17" xfId="0" applyNumberFormat="1"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7" xfId="0" applyFont="1" applyFill="1" applyBorder="1" applyAlignment="1">
      <alignment horizontal="center" vertical="center" wrapText="1"/>
    </xf>
    <xf numFmtId="0" fontId="4" fillId="4" borderId="17" xfId="0" applyFont="1" applyFill="1" applyBorder="1" applyAlignment="1">
      <alignment horizontal="left" vertical="center"/>
    </xf>
    <xf numFmtId="0" fontId="4" fillId="4" borderId="17" xfId="0" applyFont="1" applyFill="1" applyBorder="1" applyAlignment="1">
      <alignment vertical="center" wrapText="1"/>
    </xf>
    <xf numFmtId="0" fontId="6" fillId="4" borderId="17" xfId="0" applyFont="1" applyFill="1" applyBorder="1" applyAlignment="1">
      <alignment horizontal="center" vertical="center"/>
    </xf>
    <xf numFmtId="166" fontId="4" fillId="4" borderId="17" xfId="1" applyFont="1" applyFill="1" applyBorder="1" applyAlignment="1">
      <alignment horizontal="center" vertical="center"/>
    </xf>
    <xf numFmtId="0" fontId="6" fillId="4" borderId="17" xfId="0" applyFont="1" applyFill="1" applyBorder="1" applyAlignment="1">
      <alignment vertical="center"/>
    </xf>
    <xf numFmtId="0" fontId="6" fillId="4" borderId="0" xfId="0" applyFont="1" applyFill="1" applyAlignment="1">
      <alignment vertical="center"/>
    </xf>
    <xf numFmtId="0" fontId="6" fillId="4" borderId="17" xfId="0" applyFont="1" applyFill="1" applyBorder="1" applyAlignment="1">
      <alignment horizontal="left" wrapText="1"/>
    </xf>
    <xf numFmtId="0" fontId="4" fillId="4" borderId="17" xfId="0" applyFont="1" applyFill="1" applyBorder="1" applyAlignment="1">
      <alignment horizontal="left" wrapText="1"/>
    </xf>
    <xf numFmtId="166" fontId="4" fillId="4" borderId="17" xfId="1" applyFont="1" applyFill="1" applyBorder="1" applyAlignment="1">
      <alignment horizontal="center" wrapText="1"/>
    </xf>
    <xf numFmtId="167" fontId="6" fillId="0" borderId="17"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67" fontId="6" fillId="0" borderId="17" xfId="0" applyNumberFormat="1" applyFont="1" applyBorder="1" applyAlignment="1">
      <alignment horizontal="center" wrapText="1"/>
    </xf>
    <xf numFmtId="167" fontId="6" fillId="3" borderId="17" xfId="0" applyNumberFormat="1" applyFont="1" applyFill="1" applyBorder="1" applyAlignment="1">
      <alignment horizontal="center" wrapText="1"/>
    </xf>
    <xf numFmtId="167" fontId="6" fillId="3" borderId="17" xfId="0" applyNumberFormat="1" applyFont="1" applyFill="1" applyBorder="1" applyAlignment="1">
      <alignment horizontal="center" vertical="center"/>
    </xf>
    <xf numFmtId="167" fontId="6" fillId="0" borderId="17" xfId="0" applyNumberFormat="1" applyFont="1" applyBorder="1" applyAlignment="1">
      <alignment horizontal="center" vertical="center"/>
    </xf>
    <xf numFmtId="1" fontId="6" fillId="0" borderId="17" xfId="0" applyNumberFormat="1" applyFont="1" applyBorder="1" applyAlignment="1">
      <alignment horizontal="center" vertical="center"/>
    </xf>
    <xf numFmtId="0" fontId="6" fillId="4" borderId="17" xfId="0" applyFont="1" applyFill="1" applyBorder="1" applyAlignment="1">
      <alignment horizontal="center" wrapText="1"/>
    </xf>
    <xf numFmtId="167" fontId="6" fillId="4" borderId="17" xfId="0" applyNumberFormat="1" applyFont="1" applyFill="1" applyBorder="1" applyAlignment="1">
      <alignment horizontal="center" vertical="center" wrapText="1"/>
    </xf>
    <xf numFmtId="0" fontId="6" fillId="4" borderId="17" xfId="0" applyFont="1" applyFill="1" applyBorder="1" applyAlignment="1">
      <alignment horizontal="right" wrapText="1"/>
    </xf>
    <xf numFmtId="167" fontId="6" fillId="4" borderId="17" xfId="0" applyNumberFormat="1" applyFont="1" applyFill="1" applyBorder="1" applyAlignment="1">
      <alignment horizontal="center" wrapText="1"/>
    </xf>
    <xf numFmtId="167" fontId="4" fillId="4" borderId="17" xfId="0" applyNumberFormat="1" applyFont="1" applyFill="1" applyBorder="1" applyAlignment="1">
      <alignment horizontal="center" vertical="center" wrapText="1"/>
    </xf>
    <xf numFmtId="2" fontId="4" fillId="4" borderId="17" xfId="0" applyNumberFormat="1" applyFont="1" applyFill="1" applyBorder="1" applyAlignment="1">
      <alignment horizontal="center" vertical="center" wrapText="1"/>
    </xf>
    <xf numFmtId="167" fontId="6" fillId="3" borderId="17" xfId="0" applyNumberFormat="1" applyFont="1" applyFill="1" applyBorder="1" applyAlignment="1">
      <alignment horizontal="center" vertical="center" wrapText="1"/>
    </xf>
    <xf numFmtId="170" fontId="4" fillId="0" borderId="17" xfId="1" applyNumberFormat="1" applyFont="1" applyBorder="1" applyAlignment="1">
      <alignment horizontal="center" vertical="center"/>
    </xf>
    <xf numFmtId="170" fontId="4" fillId="4" borderId="17" xfId="1" applyNumberFormat="1" applyFont="1" applyFill="1" applyBorder="1" applyAlignment="1">
      <alignment horizontal="center" vertical="center"/>
    </xf>
    <xf numFmtId="166" fontId="4" fillId="4" borderId="17" xfId="1" applyNumberFormat="1" applyFont="1" applyFill="1" applyBorder="1" applyAlignment="1">
      <alignment horizontal="center" vertical="center"/>
    </xf>
    <xf numFmtId="170" fontId="6" fillId="0" borderId="17" xfId="0" applyNumberFormat="1" applyFont="1" applyBorder="1" applyAlignment="1">
      <alignment vertical="center"/>
    </xf>
    <xf numFmtId="170" fontId="6" fillId="0" borderId="17" xfId="0" applyNumberFormat="1" applyFont="1" applyBorder="1" applyAlignment="1">
      <alignment horizontal="center" vertical="center"/>
    </xf>
    <xf numFmtId="171" fontId="6" fillId="0" borderId="17" xfId="0" applyNumberFormat="1" applyFont="1" applyBorder="1" applyAlignment="1">
      <alignment vertical="center"/>
    </xf>
    <xf numFmtId="167" fontId="4" fillId="0" borderId="30" xfId="3" applyNumberFormat="1" applyFont="1" applyBorder="1" applyAlignment="1">
      <alignment horizontal="center" vertical="center" wrapText="1"/>
    </xf>
    <xf numFmtId="167" fontId="6" fillId="0" borderId="17" xfId="0" applyNumberFormat="1" applyFont="1" applyFill="1" applyBorder="1" applyAlignment="1">
      <alignment horizontal="center" vertical="center"/>
    </xf>
    <xf numFmtId="167" fontId="6" fillId="0" borderId="17" xfId="0" applyNumberFormat="1" applyFont="1" applyFill="1" applyBorder="1" applyAlignment="1">
      <alignment horizontal="center" vertical="center" wrapText="1"/>
    </xf>
    <xf numFmtId="0" fontId="4" fillId="0" borderId="0" xfId="0" applyFont="1" applyBorder="1" applyAlignment="1">
      <alignment horizontal="left" wrapText="1"/>
    </xf>
    <xf numFmtId="1" fontId="6" fillId="0" borderId="17" xfId="0" applyNumberFormat="1" applyFont="1" applyFill="1" applyBorder="1" applyAlignment="1">
      <alignment horizontal="center" vertical="center"/>
    </xf>
    <xf numFmtId="171" fontId="4" fillId="0" borderId="17" xfId="1" applyNumberFormat="1" applyFont="1" applyBorder="1" applyAlignment="1">
      <alignment horizontal="center" vertical="center"/>
    </xf>
    <xf numFmtId="171" fontId="4" fillId="4" borderId="17" xfId="1" applyNumberFormat="1" applyFont="1" applyFill="1" applyBorder="1" applyAlignment="1">
      <alignment horizontal="center" vertical="center"/>
    </xf>
    <xf numFmtId="1" fontId="6" fillId="0" borderId="17"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xf>
    <xf numFmtId="0" fontId="6" fillId="4" borderId="4" xfId="0" applyFont="1" applyFill="1" applyBorder="1" applyAlignment="1">
      <alignment horizontal="left" vertical="top"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left" vertical="center"/>
    </xf>
    <xf numFmtId="166" fontId="4" fillId="4" borderId="4" xfId="1" applyFont="1" applyFill="1" applyBorder="1" applyAlignment="1">
      <alignment horizontal="center" vertical="center"/>
    </xf>
    <xf numFmtId="166" fontId="4" fillId="4" borderId="4" xfId="1" applyFont="1" applyFill="1" applyBorder="1" applyAlignment="1">
      <alignment horizontal="center" vertical="center" wrapText="1"/>
    </xf>
    <xf numFmtId="2" fontId="4" fillId="4" borderId="4" xfId="0" applyNumberFormat="1" applyFont="1" applyFill="1" applyBorder="1" applyAlignment="1">
      <alignment horizontal="center" vertical="center"/>
    </xf>
    <xf numFmtId="0" fontId="4" fillId="4" borderId="4" xfId="0" applyFont="1" applyFill="1" applyBorder="1" applyAlignment="1">
      <alignment horizontal="left" vertical="top" wrapText="1"/>
    </xf>
    <xf numFmtId="0" fontId="4" fillId="4" borderId="4" xfId="0" applyFont="1" applyFill="1" applyBorder="1" applyAlignment="1">
      <alignment horizontal="center" vertical="center" wrapText="1"/>
    </xf>
    <xf numFmtId="0" fontId="6" fillId="4" borderId="5" xfId="0" applyFont="1" applyFill="1" applyBorder="1" applyAlignment="1">
      <alignment horizontal="left" vertical="top" wrapText="1"/>
    </xf>
    <xf numFmtId="0" fontId="6" fillId="4" borderId="5" xfId="0" applyFont="1" applyFill="1" applyBorder="1" applyAlignment="1">
      <alignment horizontal="center" vertical="center"/>
    </xf>
    <xf numFmtId="0" fontId="4" fillId="0" borderId="1" xfId="25" applyFont="1" applyFill="1" applyBorder="1" applyAlignment="1">
      <alignment horizontal="left" vertical="top" wrapText="1"/>
    </xf>
    <xf numFmtId="2" fontId="4" fillId="4" borderId="4" xfId="3" applyNumberFormat="1" applyFont="1" applyFill="1" applyBorder="1" applyAlignment="1">
      <alignment horizontal="center" vertical="center" wrapText="1"/>
    </xf>
    <xf numFmtId="167" fontId="6" fillId="0" borderId="4" xfId="0" applyNumberFormat="1" applyFont="1" applyBorder="1" applyAlignment="1">
      <alignment horizontal="center" vertical="center"/>
    </xf>
    <xf numFmtId="167" fontId="6" fillId="4" borderId="4" xfId="0" applyNumberFormat="1" applyFont="1" applyFill="1" applyBorder="1" applyAlignment="1">
      <alignment horizontal="center" vertical="center" wrapText="1"/>
    </xf>
    <xf numFmtId="167" fontId="6" fillId="0" borderId="4"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7" fontId="6" fillId="0" borderId="5" xfId="0" applyNumberFormat="1" applyFont="1" applyFill="1" applyBorder="1" applyAlignment="1">
      <alignment horizontal="center" vertical="center"/>
    </xf>
    <xf numFmtId="1" fontId="4" fillId="0" borderId="9" xfId="3" applyNumberFormat="1" applyFont="1" applyBorder="1" applyAlignment="1">
      <alignment horizontal="center" vertical="center" wrapText="1"/>
    </xf>
    <xf numFmtId="2" fontId="4" fillId="4" borderId="4" xfId="8"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4"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0" xfId="0" applyFont="1" applyFill="1" applyAlignment="1">
      <alignment horizontal="center" vertical="center"/>
    </xf>
    <xf numFmtId="2" fontId="4" fillId="4" borderId="9" xfId="3" applyNumberFormat="1" applyFont="1" applyFill="1" applyBorder="1" applyAlignment="1">
      <alignment horizontal="center" vertical="center" wrapText="1"/>
    </xf>
    <xf numFmtId="0" fontId="4" fillId="4" borderId="9" xfId="3" applyFont="1" applyFill="1" applyBorder="1" applyAlignment="1">
      <alignment horizontal="left" vertical="center" wrapText="1"/>
    </xf>
    <xf numFmtId="0" fontId="4" fillId="4" borderId="9" xfId="3" applyFont="1" applyFill="1" applyBorder="1" applyAlignment="1">
      <alignment horizontal="center" vertical="center" wrapText="1"/>
    </xf>
    <xf numFmtId="0" fontId="7" fillId="4" borderId="9" xfId="3" applyFont="1" applyFill="1" applyBorder="1" applyAlignment="1">
      <alignment horizontal="center" vertical="center" wrapText="1"/>
    </xf>
    <xf numFmtId="2" fontId="4" fillId="4" borderId="17" xfId="8" applyNumberFormat="1" applyFont="1" applyFill="1" applyBorder="1" applyAlignment="1">
      <alignment horizontal="center" vertical="center" wrapText="1"/>
    </xf>
    <xf numFmtId="165" fontId="4" fillId="4" borderId="17" xfId="8" applyFont="1" applyFill="1" applyBorder="1" applyAlignment="1">
      <alignment horizontal="left" vertical="top" wrapText="1"/>
    </xf>
    <xf numFmtId="0" fontId="6" fillId="4"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2" fontId="6" fillId="0" borderId="4"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166" fontId="4" fillId="0" borderId="4" xfId="1" applyFont="1" applyFill="1" applyBorder="1" applyAlignment="1">
      <alignment horizontal="center" vertical="center" wrapText="1"/>
    </xf>
    <xf numFmtId="0" fontId="4" fillId="4" borderId="5" xfId="0" quotePrefix="1" applyFont="1" applyFill="1" applyBorder="1" applyAlignment="1">
      <alignment horizontal="center" vertical="center" wrapText="1"/>
    </xf>
    <xf numFmtId="43" fontId="7" fillId="0" borderId="32" xfId="1"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16" fillId="4" borderId="0" xfId="0" applyFont="1" applyFill="1" applyAlignment="1">
      <alignment vertical="center"/>
    </xf>
    <xf numFmtId="2" fontId="4" fillId="2" borderId="4" xfId="8" applyNumberFormat="1" applyFont="1" applyFill="1" applyBorder="1" applyAlignment="1">
      <alignment horizontal="left" vertical="center" wrapText="1"/>
    </xf>
    <xf numFmtId="2" fontId="16" fillId="0" borderId="31" xfId="0" applyNumberFormat="1" applyFont="1" applyBorder="1" applyAlignment="1">
      <alignment horizontal="center" vertical="center" wrapText="1"/>
    </xf>
    <xf numFmtId="2" fontId="16" fillId="0" borderId="27" xfId="0" applyNumberFormat="1" applyFont="1" applyBorder="1" applyAlignment="1">
      <alignment horizontal="center" vertical="center"/>
    </xf>
    <xf numFmtId="0" fontId="7" fillId="0" borderId="31" xfId="0" applyFont="1" applyBorder="1" applyAlignment="1" applyProtection="1">
      <alignment horizontal="right" vertical="center" wrapText="1"/>
    </xf>
    <xf numFmtId="0" fontId="7" fillId="0" borderId="27" xfId="0" applyFont="1" applyBorder="1" applyAlignment="1" applyProtection="1">
      <alignment horizontal="right" vertical="center" wrapText="1"/>
    </xf>
    <xf numFmtId="0" fontId="7" fillId="0" borderId="28" xfId="0" applyFont="1" applyBorder="1" applyAlignment="1" applyProtection="1">
      <alignment horizontal="right" vertical="center" wrapText="1"/>
    </xf>
    <xf numFmtId="166" fontId="7" fillId="0" borderId="31" xfId="1" applyFont="1" applyFill="1" applyBorder="1" applyAlignment="1">
      <alignment horizontal="center" vertical="center" wrapText="1"/>
    </xf>
    <xf numFmtId="166" fontId="7" fillId="0" borderId="27" xfId="1" applyFont="1" applyFill="1" applyBorder="1" applyAlignment="1">
      <alignment horizontal="center" vertical="center" wrapText="1"/>
    </xf>
    <xf numFmtId="166" fontId="7" fillId="0" borderId="28" xfId="1" applyFont="1" applyFill="1" applyBorder="1" applyAlignment="1">
      <alignment horizontal="center" vertical="center" wrapText="1"/>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5" fillId="0" borderId="32" xfId="0" applyFont="1" applyBorder="1" applyAlignment="1">
      <alignment horizontal="left" vertical="top" wrapText="1"/>
    </xf>
    <xf numFmtId="0" fontId="5" fillId="0" borderId="32" xfId="0" applyFont="1" applyBorder="1" applyAlignment="1">
      <alignment horizontal="center" vertical="center" wrapText="1"/>
    </xf>
    <xf numFmtId="2" fontId="5" fillId="0" borderId="31" xfId="0" applyNumberFormat="1" applyFont="1" applyBorder="1" applyAlignment="1">
      <alignment horizontal="center" vertical="center"/>
    </xf>
    <xf numFmtId="2" fontId="5" fillId="0" borderId="27" xfId="0" applyNumberFormat="1" applyFont="1" applyBorder="1" applyAlignment="1">
      <alignment horizontal="center" vertical="center"/>
    </xf>
    <xf numFmtId="2" fontId="5" fillId="0" borderId="28" xfId="0" applyNumberFormat="1" applyFont="1" applyBorder="1" applyAlignment="1">
      <alignment horizontal="center" vertical="center"/>
    </xf>
    <xf numFmtId="166" fontId="7" fillId="0" borderId="33" xfId="1" applyFont="1" applyBorder="1" applyAlignment="1">
      <alignment horizontal="center" vertical="center" wrapText="1"/>
    </xf>
    <xf numFmtId="2" fontId="5" fillId="3" borderId="31" xfId="0" applyNumberFormat="1" applyFont="1" applyFill="1" applyBorder="1" applyAlignment="1">
      <alignment horizontal="center" vertical="center"/>
    </xf>
    <xf numFmtId="2" fontId="5" fillId="3" borderId="27" xfId="0" applyNumberFormat="1" applyFont="1" applyFill="1" applyBorder="1" applyAlignment="1">
      <alignment horizontal="center" vertical="center"/>
    </xf>
    <xf numFmtId="2" fontId="5" fillId="3" borderId="28" xfId="0" applyNumberFormat="1" applyFont="1" applyFill="1" applyBorder="1" applyAlignment="1">
      <alignment horizontal="center" vertical="center"/>
    </xf>
    <xf numFmtId="0" fontId="7" fillId="0" borderId="32" xfId="0" applyFont="1" applyBorder="1" applyAlignment="1">
      <alignment horizontal="left" vertical="center" wrapText="1"/>
    </xf>
    <xf numFmtId="166" fontId="7" fillId="0" borderId="31" xfId="1" applyFont="1" applyBorder="1" applyAlignment="1">
      <alignment horizontal="center" vertical="center" wrapText="1"/>
    </xf>
    <xf numFmtId="166" fontId="7" fillId="0" borderId="27" xfId="1" applyFont="1" applyBorder="1" applyAlignment="1">
      <alignment horizontal="center" vertical="center" wrapText="1"/>
    </xf>
    <xf numFmtId="166" fontId="7" fillId="0" borderId="28" xfId="1" applyFont="1" applyBorder="1" applyAlignment="1">
      <alignment horizontal="center" vertical="center" wrapText="1"/>
    </xf>
    <xf numFmtId="0" fontId="7" fillId="3" borderId="31" xfId="0" applyFont="1" applyFill="1" applyBorder="1" applyAlignment="1" applyProtection="1">
      <alignment horizontal="right" vertical="center" wrapText="1"/>
    </xf>
    <xf numFmtId="0" fontId="7" fillId="3" borderId="27" xfId="0" applyFont="1" applyFill="1" applyBorder="1" applyAlignment="1" applyProtection="1">
      <alignment horizontal="right" vertical="center" wrapText="1"/>
    </xf>
    <xf numFmtId="0" fontId="7" fillId="3" borderId="28" xfId="0" applyFont="1" applyFill="1" applyBorder="1" applyAlignment="1" applyProtection="1">
      <alignment horizontal="right" vertical="center" wrapText="1"/>
    </xf>
    <xf numFmtId="0" fontId="7" fillId="0" borderId="31"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166" fontId="7" fillId="0" borderId="32" xfId="1" applyFont="1" applyBorder="1" applyAlignment="1">
      <alignment horizontal="center" vertical="center" wrapText="1"/>
    </xf>
    <xf numFmtId="0" fontId="15" fillId="0" borderId="10"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8" fillId="0" borderId="11" xfId="0" applyFont="1" applyFill="1" applyBorder="1" applyAlignment="1">
      <alignment vertical="center" wrapText="1"/>
    </xf>
    <xf numFmtId="0" fontId="18" fillId="0" borderId="15"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2" fontId="16" fillId="0" borderId="23" xfId="0" applyNumberFormat="1" applyFont="1" applyBorder="1" applyAlignment="1">
      <alignment horizontal="center" vertical="center" wrapText="1"/>
    </xf>
    <xf numFmtId="2" fontId="16" fillId="0" borderId="24" xfId="0" applyNumberFormat="1" applyFont="1" applyBorder="1" applyAlignment="1">
      <alignment horizontal="center" vertical="center" wrapText="1"/>
    </xf>
    <xf numFmtId="3" fontId="15" fillId="0" borderId="26" xfId="10" applyNumberFormat="1" applyFont="1" applyFill="1" applyBorder="1" applyAlignment="1">
      <alignment horizontal="center" vertical="center"/>
    </xf>
    <xf numFmtId="3" fontId="15" fillId="0" borderId="29" xfId="10" applyNumberFormat="1"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8" fillId="0" borderId="34" xfId="0" applyFont="1" applyFill="1" applyBorder="1" applyAlignment="1">
      <alignment vertical="center" wrapText="1"/>
    </xf>
    <xf numFmtId="0" fontId="18" fillId="0" borderId="19" xfId="0" applyFont="1" applyFill="1" applyBorder="1" applyAlignment="1">
      <alignment vertical="center" wrapText="1"/>
    </xf>
  </cellXfs>
  <cellStyles count="27">
    <cellStyle name="Comma" xfId="1" builtinId="3"/>
    <cellStyle name="Comma 10" xfId="9"/>
    <cellStyle name="Comma 2" xfId="7"/>
    <cellStyle name="Comma 2 2" xfId="10"/>
    <cellStyle name="Comma 3" xfId="5"/>
    <cellStyle name="Comma 4" xfId="8"/>
    <cellStyle name="Comma 5" xfId="19"/>
    <cellStyle name="Comma 6" xfId="24"/>
    <cellStyle name="Normal" xfId="0" builtinId="0"/>
    <cellStyle name="Normal 10" xfId="11"/>
    <cellStyle name="Normal 10 2" xfId="21"/>
    <cellStyle name="Normal 13" xfId="20"/>
    <cellStyle name="Normal 2" xfId="6"/>
    <cellStyle name="Normal 2 2" xfId="12"/>
    <cellStyle name="Normal 2 3" xfId="22"/>
    <cellStyle name="Normal 3" xfId="4"/>
    <cellStyle name="Normal 3 2" xfId="13"/>
    <cellStyle name="Normal 4" xfId="18"/>
    <cellStyle name="Normal 4 2" xfId="14"/>
    <cellStyle name="Normal 5" xfId="15"/>
    <cellStyle name="Normal_BOQ 10" xfId="25"/>
    <cellStyle name="Normal_EW-BOQ-Blank" xfId="26"/>
    <cellStyle name="Normal_Potable water P1-07 BOQ" xfId="2"/>
    <cellStyle name="Normal_Potable water P1-07 BOQ 2" xfId="3"/>
    <cellStyle name="Percent 2 2" xfId="16"/>
    <cellStyle name="Percent 3" xfId="17"/>
    <cellStyle name="常规_BUNGOMA REHABILITATION WORKS (BQ BR1-BR14)" xfId="23"/>
  </cellStyles>
  <dxfs count="0"/>
  <tableStyles count="0" defaultTableStyle="TableStyleMedium9" defaultPivotStyle="PivotStyleLight16"/>
  <colors>
    <mruColors>
      <color rgb="FFFFE285"/>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47625</xdr:rowOff>
    </xdr:from>
    <xdr:to>
      <xdr:col>10</xdr:col>
      <xdr:colOff>666750</xdr:colOff>
      <xdr:row>0</xdr:row>
      <xdr:rowOff>562257</xdr:rowOff>
    </xdr:to>
    <xdr:pic>
      <xdr:nvPicPr>
        <xdr:cNvPr id="4" name="Picture 3"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85725</xdr:colOff>
      <xdr:row>0</xdr:row>
      <xdr:rowOff>38100</xdr:rowOff>
    </xdr:from>
    <xdr:to>
      <xdr:col>2</xdr:col>
      <xdr:colOff>1133475</xdr:colOff>
      <xdr:row>0</xdr:row>
      <xdr:rowOff>552732</xdr:rowOff>
    </xdr:to>
    <xdr:pic>
      <xdr:nvPicPr>
        <xdr:cNvPr id="3" name="Picture 2"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0" y="847725"/>
          <a:ext cx="1047750"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409575</xdr:colOff>
      <xdr:row>0</xdr:row>
      <xdr:rowOff>47625</xdr:rowOff>
    </xdr:from>
    <xdr:to>
      <xdr:col>10</xdr:col>
      <xdr:colOff>638175</xdr:colOff>
      <xdr:row>0</xdr:row>
      <xdr:rowOff>562257</xdr:rowOff>
    </xdr:to>
    <xdr:pic>
      <xdr:nvPicPr>
        <xdr:cNvPr id="4" name="Picture 3"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5" y="47625"/>
          <a:ext cx="12096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304799</xdr:colOff>
      <xdr:row>62</xdr:row>
      <xdr:rowOff>0</xdr:rowOff>
    </xdr:from>
    <xdr:ext cx="2714625" cy="466725"/>
    <xdr:sp macro="" textlink="">
      <xdr:nvSpPr>
        <xdr:cNvPr id="6" name="TextBox 5"/>
        <xdr:cNvSpPr txBox="1"/>
      </xdr:nvSpPr>
      <xdr:spPr>
        <a:xfrm>
          <a:off x="14868524" y="22707599"/>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5" name="Picture 4"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57149</xdr:colOff>
      <xdr:row>140</xdr:row>
      <xdr:rowOff>0</xdr:rowOff>
    </xdr:from>
    <xdr:ext cx="1419225" cy="619126"/>
    <xdr:sp macro="" textlink="">
      <xdr:nvSpPr>
        <xdr:cNvPr id="2" name="TextBox 1"/>
        <xdr:cNvSpPr txBox="1"/>
      </xdr:nvSpPr>
      <xdr:spPr>
        <a:xfrm>
          <a:off x="14487524" y="10229850"/>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78</xdr:row>
      <xdr:rowOff>0</xdr:rowOff>
    </xdr:from>
    <xdr:ext cx="2714625" cy="466725"/>
    <xdr:sp macro="" textlink="">
      <xdr:nvSpPr>
        <xdr:cNvPr id="14" name="TextBox 13"/>
        <xdr:cNvSpPr txBox="1"/>
      </xdr:nvSpPr>
      <xdr:spPr>
        <a:xfrm>
          <a:off x="14735174" y="1769745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15" name="Picture 14"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57149</xdr:colOff>
      <xdr:row>32</xdr:row>
      <xdr:rowOff>0</xdr:rowOff>
    </xdr:from>
    <xdr:ext cx="1419225" cy="619126"/>
    <xdr:sp macro="" textlink="">
      <xdr:nvSpPr>
        <xdr:cNvPr id="3" name="TextBox 2"/>
        <xdr:cNvSpPr txBox="1"/>
      </xdr:nvSpPr>
      <xdr:spPr>
        <a:xfrm>
          <a:off x="14430374" y="9810750"/>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41</xdr:row>
      <xdr:rowOff>104774</xdr:rowOff>
    </xdr:from>
    <xdr:ext cx="2714625" cy="466725"/>
    <xdr:sp macro="" textlink="">
      <xdr:nvSpPr>
        <xdr:cNvPr id="7" name="TextBox 6"/>
        <xdr:cNvSpPr txBox="1"/>
      </xdr:nvSpPr>
      <xdr:spPr>
        <a:xfrm>
          <a:off x="14678024" y="1342072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5" name="Picture 4"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57149</xdr:colOff>
      <xdr:row>32</xdr:row>
      <xdr:rowOff>0</xdr:rowOff>
    </xdr:from>
    <xdr:ext cx="1419225" cy="619126"/>
    <xdr:sp macro="" textlink="">
      <xdr:nvSpPr>
        <xdr:cNvPr id="2" name="TextBox 1"/>
        <xdr:cNvSpPr txBox="1"/>
      </xdr:nvSpPr>
      <xdr:spPr>
        <a:xfrm>
          <a:off x="14716124" y="10687050"/>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68</xdr:row>
      <xdr:rowOff>0</xdr:rowOff>
    </xdr:from>
    <xdr:ext cx="2714625" cy="466725"/>
    <xdr:sp macro="" textlink="">
      <xdr:nvSpPr>
        <xdr:cNvPr id="12" name="TextBox 11"/>
        <xdr:cNvSpPr txBox="1"/>
      </xdr:nvSpPr>
      <xdr:spPr>
        <a:xfrm>
          <a:off x="14963774" y="1738312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13" name="Picture 12"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304799</xdr:colOff>
      <xdr:row>50</xdr:row>
      <xdr:rowOff>0</xdr:rowOff>
    </xdr:from>
    <xdr:ext cx="2714625" cy="466725"/>
    <xdr:sp macro="" textlink="">
      <xdr:nvSpPr>
        <xdr:cNvPr id="14" name="TextBox 13"/>
        <xdr:cNvSpPr txBox="1"/>
      </xdr:nvSpPr>
      <xdr:spPr>
        <a:xfrm>
          <a:off x="8972549" y="1142047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100</xdr:row>
      <xdr:rowOff>104774</xdr:rowOff>
    </xdr:from>
    <xdr:ext cx="2714625" cy="466725"/>
    <xdr:sp macro="" textlink="">
      <xdr:nvSpPr>
        <xdr:cNvPr id="15" name="TextBox 14"/>
        <xdr:cNvSpPr txBox="1"/>
      </xdr:nvSpPr>
      <xdr:spPr>
        <a:xfrm>
          <a:off x="8972549" y="1143952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83</xdr:row>
      <xdr:rowOff>0</xdr:rowOff>
    </xdr:from>
    <xdr:ext cx="2714625" cy="466725"/>
    <xdr:sp macro="" textlink="">
      <xdr:nvSpPr>
        <xdr:cNvPr id="7" name="TextBox 6"/>
        <xdr:cNvSpPr txBox="1"/>
      </xdr:nvSpPr>
      <xdr:spPr>
        <a:xfrm>
          <a:off x="8905874" y="14792325"/>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102</xdr:row>
      <xdr:rowOff>0</xdr:rowOff>
    </xdr:from>
    <xdr:ext cx="2714625" cy="466725"/>
    <xdr:sp macro="" textlink="">
      <xdr:nvSpPr>
        <xdr:cNvPr id="8" name="TextBox 7"/>
        <xdr:cNvSpPr txBox="1"/>
      </xdr:nvSpPr>
      <xdr:spPr>
        <a:xfrm>
          <a:off x="8905874" y="1817370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115</xdr:row>
      <xdr:rowOff>0</xdr:rowOff>
    </xdr:from>
    <xdr:ext cx="2714625" cy="466725"/>
    <xdr:sp macro="" textlink="">
      <xdr:nvSpPr>
        <xdr:cNvPr id="9" name="TextBox 8"/>
        <xdr:cNvSpPr txBox="1"/>
      </xdr:nvSpPr>
      <xdr:spPr>
        <a:xfrm>
          <a:off x="8905874" y="21383625"/>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57149</xdr:colOff>
      <xdr:row>32</xdr:row>
      <xdr:rowOff>0</xdr:rowOff>
    </xdr:from>
    <xdr:ext cx="1419225" cy="619126"/>
    <xdr:sp macro="" textlink="">
      <xdr:nvSpPr>
        <xdr:cNvPr id="2" name="TextBox 1"/>
        <xdr:cNvSpPr txBox="1"/>
      </xdr:nvSpPr>
      <xdr:spPr>
        <a:xfrm>
          <a:off x="15297149" y="7553325"/>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68</xdr:row>
      <xdr:rowOff>0</xdr:rowOff>
    </xdr:from>
    <xdr:ext cx="2714625" cy="466725"/>
    <xdr:sp macro="" textlink="">
      <xdr:nvSpPr>
        <xdr:cNvPr id="3" name="TextBox 2"/>
        <xdr:cNvSpPr txBox="1"/>
      </xdr:nvSpPr>
      <xdr:spPr>
        <a:xfrm>
          <a:off x="15544799" y="1632585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4" name="Picture 3"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5850" y="47625"/>
          <a:ext cx="1619250"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304799</xdr:colOff>
      <xdr:row>50</xdr:row>
      <xdr:rowOff>0</xdr:rowOff>
    </xdr:from>
    <xdr:ext cx="2714625" cy="466725"/>
    <xdr:sp macro="" textlink="">
      <xdr:nvSpPr>
        <xdr:cNvPr id="5" name="TextBox 4"/>
        <xdr:cNvSpPr txBox="1"/>
      </xdr:nvSpPr>
      <xdr:spPr>
        <a:xfrm>
          <a:off x="15544799" y="12125325"/>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102</xdr:row>
      <xdr:rowOff>0</xdr:rowOff>
    </xdr:from>
    <xdr:ext cx="2714625" cy="466725"/>
    <xdr:sp macro="" textlink="">
      <xdr:nvSpPr>
        <xdr:cNvPr id="6" name="TextBox 5"/>
        <xdr:cNvSpPr txBox="1"/>
      </xdr:nvSpPr>
      <xdr:spPr>
        <a:xfrm>
          <a:off x="15544799" y="2344102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89</xdr:row>
      <xdr:rowOff>0</xdr:rowOff>
    </xdr:from>
    <xdr:ext cx="2714625" cy="466725"/>
    <xdr:sp macro="" textlink="">
      <xdr:nvSpPr>
        <xdr:cNvPr id="7" name="TextBox 6"/>
        <xdr:cNvSpPr txBox="1"/>
      </xdr:nvSpPr>
      <xdr:spPr>
        <a:xfrm>
          <a:off x="15544799" y="1941195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102</xdr:row>
      <xdr:rowOff>0</xdr:rowOff>
    </xdr:from>
    <xdr:ext cx="2714625" cy="466725"/>
    <xdr:sp macro="" textlink="">
      <xdr:nvSpPr>
        <xdr:cNvPr id="8" name="TextBox 7"/>
        <xdr:cNvSpPr txBox="1"/>
      </xdr:nvSpPr>
      <xdr:spPr>
        <a:xfrm>
          <a:off x="15544799" y="2369820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123</xdr:row>
      <xdr:rowOff>0</xdr:rowOff>
    </xdr:from>
    <xdr:ext cx="2714625" cy="466725"/>
    <xdr:sp macro="" textlink="">
      <xdr:nvSpPr>
        <xdr:cNvPr id="9" name="TextBox 8"/>
        <xdr:cNvSpPr txBox="1"/>
      </xdr:nvSpPr>
      <xdr:spPr>
        <a:xfrm>
          <a:off x="15544799" y="2741295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74</xdr:row>
      <xdr:rowOff>0</xdr:rowOff>
    </xdr:from>
    <xdr:ext cx="2714625" cy="466725"/>
    <xdr:sp macro="" textlink="">
      <xdr:nvSpPr>
        <xdr:cNvPr id="14" name="TextBox 13"/>
        <xdr:cNvSpPr txBox="1"/>
      </xdr:nvSpPr>
      <xdr:spPr>
        <a:xfrm>
          <a:off x="15544799" y="21931313"/>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171450</xdr:colOff>
      <xdr:row>0</xdr:row>
      <xdr:rowOff>47625</xdr:rowOff>
    </xdr:from>
    <xdr:to>
      <xdr:col>10</xdr:col>
      <xdr:colOff>666750</xdr:colOff>
      <xdr:row>0</xdr:row>
      <xdr:rowOff>562257</xdr:rowOff>
    </xdr:to>
    <xdr:pic>
      <xdr:nvPicPr>
        <xdr:cNvPr id="3" name="Picture 2"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304799</xdr:colOff>
      <xdr:row>75</xdr:row>
      <xdr:rowOff>0</xdr:rowOff>
    </xdr:from>
    <xdr:ext cx="2714625" cy="466725"/>
    <xdr:sp macro="" textlink="">
      <xdr:nvSpPr>
        <xdr:cNvPr id="4" name="TextBox 3"/>
        <xdr:cNvSpPr txBox="1"/>
      </xdr:nvSpPr>
      <xdr:spPr>
        <a:xfrm>
          <a:off x="8972549" y="11344274"/>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53</xdr:row>
      <xdr:rowOff>0</xdr:rowOff>
    </xdr:from>
    <xdr:ext cx="2714625" cy="466725"/>
    <xdr:sp macro="" textlink="">
      <xdr:nvSpPr>
        <xdr:cNvPr id="7" name="TextBox 6"/>
        <xdr:cNvSpPr txBox="1"/>
      </xdr:nvSpPr>
      <xdr:spPr>
        <a:xfrm>
          <a:off x="13973174" y="1756410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41</xdr:row>
      <xdr:rowOff>0</xdr:rowOff>
    </xdr:from>
    <xdr:ext cx="2714625" cy="466725"/>
    <xdr:sp macro="" textlink="">
      <xdr:nvSpPr>
        <xdr:cNvPr id="8" name="TextBox 7"/>
        <xdr:cNvSpPr txBox="1"/>
      </xdr:nvSpPr>
      <xdr:spPr>
        <a:xfrm>
          <a:off x="13973174" y="13411199"/>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57149</xdr:colOff>
      <xdr:row>76</xdr:row>
      <xdr:rowOff>0</xdr:rowOff>
    </xdr:from>
    <xdr:ext cx="1419225" cy="619126"/>
    <xdr:sp macro="" textlink="">
      <xdr:nvSpPr>
        <xdr:cNvPr id="10" name="TextBox 9"/>
        <xdr:cNvSpPr txBox="1"/>
      </xdr:nvSpPr>
      <xdr:spPr>
        <a:xfrm>
          <a:off x="13261180" y="9310688"/>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82</xdr:row>
      <xdr:rowOff>0</xdr:rowOff>
    </xdr:from>
    <xdr:ext cx="2714625" cy="466725"/>
    <xdr:sp macro="" textlink="">
      <xdr:nvSpPr>
        <xdr:cNvPr id="11" name="TextBox 10"/>
        <xdr:cNvSpPr txBox="1"/>
      </xdr:nvSpPr>
      <xdr:spPr>
        <a:xfrm>
          <a:off x="13508830" y="12549188"/>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223</xdr:row>
      <xdr:rowOff>0</xdr:rowOff>
    </xdr:from>
    <xdr:ext cx="2714625" cy="466725"/>
    <xdr:sp macro="" textlink="">
      <xdr:nvSpPr>
        <xdr:cNvPr id="12" name="TextBox 11"/>
        <xdr:cNvSpPr txBox="1"/>
      </xdr:nvSpPr>
      <xdr:spPr>
        <a:xfrm>
          <a:off x="14373224" y="12573000"/>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57149</xdr:colOff>
      <xdr:row>48</xdr:row>
      <xdr:rowOff>0</xdr:rowOff>
    </xdr:from>
    <xdr:ext cx="1419225" cy="619126"/>
    <xdr:sp macro="" textlink="">
      <xdr:nvSpPr>
        <xdr:cNvPr id="2" name="TextBox 1"/>
        <xdr:cNvSpPr txBox="1"/>
      </xdr:nvSpPr>
      <xdr:spPr>
        <a:xfrm>
          <a:off x="14887574" y="6867525"/>
          <a:ext cx="141922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a:p>
        <a:p>
          <a:endParaRPr/>
        </a:p>
        <a:p>
          <a:endParaRPr/>
        </a:p>
        <a:p>
          <a:endParaRPr lang="en-US" sz="1100">
            <a:latin typeface="+mn-lt"/>
          </a:endParaRPr>
        </a:p>
      </xdr:txBody>
    </xdr:sp>
    <xdr:clientData/>
  </xdr:oneCellAnchor>
  <xdr:oneCellAnchor>
    <xdr:from>
      <xdr:col>12</xdr:col>
      <xdr:colOff>304799</xdr:colOff>
      <xdr:row>48</xdr:row>
      <xdr:rowOff>0</xdr:rowOff>
    </xdr:from>
    <xdr:ext cx="2714625" cy="466725"/>
    <xdr:sp macro="" textlink="">
      <xdr:nvSpPr>
        <xdr:cNvPr id="3" name="TextBox 2"/>
        <xdr:cNvSpPr txBox="1"/>
      </xdr:nvSpPr>
      <xdr:spPr>
        <a:xfrm>
          <a:off x="15135224" y="6867525"/>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oneCellAnchor>
    <xdr:from>
      <xdr:col>12</xdr:col>
      <xdr:colOff>304799</xdr:colOff>
      <xdr:row>70</xdr:row>
      <xdr:rowOff>0</xdr:rowOff>
    </xdr:from>
    <xdr:ext cx="2714625" cy="466725"/>
    <xdr:sp macro="" textlink="">
      <xdr:nvSpPr>
        <xdr:cNvPr id="5" name="TextBox 4"/>
        <xdr:cNvSpPr txBox="1"/>
      </xdr:nvSpPr>
      <xdr:spPr>
        <a:xfrm>
          <a:off x="15135224" y="8239125"/>
          <a:ext cx="27146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en-US" sz="1100"/>
        </a:p>
      </xdr:txBody>
    </xdr:sp>
    <xdr:clientData/>
  </xdr:oneCellAnchor>
  <xdr:twoCellAnchor>
    <xdr:from>
      <xdr:col>9</xdr:col>
      <xdr:colOff>171450</xdr:colOff>
      <xdr:row>0</xdr:row>
      <xdr:rowOff>47625</xdr:rowOff>
    </xdr:from>
    <xdr:to>
      <xdr:col>10</xdr:col>
      <xdr:colOff>666750</xdr:colOff>
      <xdr:row>0</xdr:row>
      <xdr:rowOff>562257</xdr:rowOff>
    </xdr:to>
    <xdr:pic>
      <xdr:nvPicPr>
        <xdr:cNvPr id="8" name="Picture 7" descr="C:\Documents and Settings\admin\Desktop\charlote\mascot.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47625"/>
          <a:ext cx="1476375" cy="51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0"/>
  <sheetViews>
    <sheetView zoomScale="80" zoomScaleNormal="80" zoomScaleSheetLayoutView="100" workbookViewId="0">
      <pane ySplit="1" topLeftCell="A24" activePane="bottomLeft" state="frozen"/>
      <selection pane="bottomLeft" activeCell="B39" sqref="B39"/>
    </sheetView>
  </sheetViews>
  <sheetFormatPr defaultColWidth="9.140625" defaultRowHeight="14.25"/>
  <cols>
    <col min="1" max="1" width="10.5703125" style="24" customWidth="1"/>
    <col min="2" max="2" width="64" style="11" customWidth="1"/>
    <col min="3" max="3" width="9.7109375" style="68" customWidth="1"/>
    <col min="4" max="4" width="10.7109375" style="316" customWidth="1"/>
    <col min="5" max="5" width="17.85546875" style="316" customWidth="1"/>
    <col min="6" max="6" width="10.7109375" style="316" customWidth="1"/>
    <col min="7" max="7" width="4.28515625" style="316" customWidth="1"/>
    <col min="8" max="8" width="24.7109375" style="316" customWidth="1"/>
    <col min="9" max="9" width="10.7109375" style="68" customWidth="1"/>
    <col min="10" max="10" width="16.28515625" style="11" customWidth="1"/>
    <col min="11" max="11" width="14.7109375" style="11" customWidth="1"/>
    <col min="12" max="12" width="19.85546875" style="8" bestFit="1" customWidth="1"/>
    <col min="13" max="14" width="10.85546875" style="8" bestFit="1" customWidth="1"/>
    <col min="15" max="16384" width="9.140625" style="8"/>
  </cols>
  <sheetData>
    <row r="1" spans="1:11" ht="48.75" customHeight="1">
      <c r="A1" s="485" t="s">
        <v>99</v>
      </c>
      <c r="B1" s="486"/>
      <c r="C1" s="486"/>
      <c r="D1" s="486"/>
      <c r="E1" s="486"/>
      <c r="F1" s="486"/>
      <c r="G1" s="486"/>
      <c r="H1" s="486"/>
      <c r="I1" s="486"/>
      <c r="J1" s="150"/>
      <c r="K1" s="151"/>
    </row>
    <row r="2" spans="1:11" ht="14.25" customHeight="1">
      <c r="A2" s="493" t="s">
        <v>422</v>
      </c>
      <c r="B2" s="494"/>
      <c r="C2" s="494"/>
      <c r="D2" s="494"/>
      <c r="E2" s="494"/>
      <c r="F2" s="494"/>
      <c r="G2" s="494"/>
      <c r="H2" s="494"/>
      <c r="I2" s="494"/>
      <c r="J2" s="494"/>
      <c r="K2" s="495"/>
    </row>
    <row r="3" spans="1:11" ht="31.5" customHeight="1">
      <c r="A3" s="158" t="s">
        <v>0</v>
      </c>
      <c r="B3" s="159" t="s">
        <v>1</v>
      </c>
      <c r="C3" s="105" t="s">
        <v>2</v>
      </c>
      <c r="D3" s="490" t="s">
        <v>32</v>
      </c>
      <c r="E3" s="491"/>
      <c r="F3" s="491"/>
      <c r="G3" s="491"/>
      <c r="H3" s="492"/>
      <c r="I3" s="105" t="s">
        <v>98</v>
      </c>
      <c r="J3" s="105" t="s">
        <v>4</v>
      </c>
      <c r="K3" s="105" t="s">
        <v>5</v>
      </c>
    </row>
    <row r="4" spans="1:11" ht="20.25" customHeight="1">
      <c r="A4" s="107"/>
      <c r="B4" s="134"/>
      <c r="C4" s="109"/>
      <c r="D4" s="311"/>
      <c r="E4" s="311"/>
      <c r="F4" s="311"/>
      <c r="G4" s="311"/>
      <c r="H4" s="311"/>
      <c r="I4" s="109"/>
      <c r="J4" s="118"/>
      <c r="K4" s="118"/>
    </row>
    <row r="5" spans="1:11" s="11" customFormat="1">
      <c r="A5" s="110">
        <v>1</v>
      </c>
      <c r="B5" s="111" t="s">
        <v>8</v>
      </c>
      <c r="C5" s="112"/>
      <c r="D5" s="309">
        <v>8.4</v>
      </c>
      <c r="E5" s="309">
        <v>4.7</v>
      </c>
      <c r="F5" s="246"/>
      <c r="G5" s="246"/>
      <c r="H5" s="246" t="s">
        <v>423</v>
      </c>
      <c r="I5" s="112"/>
      <c r="J5" s="117"/>
      <c r="K5" s="118"/>
    </row>
    <row r="6" spans="1:11" s="11" customFormat="1" ht="15">
      <c r="A6" s="121"/>
      <c r="B6" s="111"/>
      <c r="C6" s="112"/>
      <c r="D6" s="309">
        <v>1.2</v>
      </c>
      <c r="E6" s="309">
        <v>1.4</v>
      </c>
      <c r="F6" s="246"/>
      <c r="G6" s="246"/>
      <c r="H6" s="246"/>
      <c r="I6" s="112"/>
      <c r="J6" s="117"/>
      <c r="K6" s="118"/>
    </row>
    <row r="7" spans="1:11" s="11" customFormat="1" ht="38.25">
      <c r="A7" s="122"/>
      <c r="B7" s="123" t="s">
        <v>158</v>
      </c>
      <c r="C7" s="124"/>
      <c r="D7" s="246"/>
      <c r="E7" s="246">
        <v>3.4</v>
      </c>
      <c r="F7" s="246"/>
      <c r="G7" s="246"/>
      <c r="H7" s="246"/>
      <c r="I7" s="124"/>
      <c r="J7" s="124"/>
      <c r="K7" s="118"/>
    </row>
    <row r="8" spans="1:11" s="11" customFormat="1">
      <c r="A8" s="122"/>
      <c r="B8" s="123"/>
      <c r="C8" s="124"/>
      <c r="D8" s="252"/>
      <c r="E8" s="252"/>
      <c r="F8" s="252"/>
      <c r="G8" s="252"/>
      <c r="H8" s="252"/>
      <c r="I8" s="124"/>
      <c r="J8" s="124"/>
      <c r="K8" s="118"/>
    </row>
    <row r="9" spans="1:11" s="11" customFormat="1">
      <c r="A9" s="110">
        <v>1.1000000000000001</v>
      </c>
      <c r="B9" s="111" t="s">
        <v>178</v>
      </c>
      <c r="C9" s="124"/>
      <c r="D9" s="252"/>
      <c r="E9" s="252"/>
      <c r="F9" s="252"/>
      <c r="G9" s="252"/>
      <c r="H9" s="252"/>
      <c r="I9" s="124"/>
      <c r="J9" s="124"/>
      <c r="K9" s="118"/>
    </row>
    <row r="10" spans="1:11" s="11" customFormat="1">
      <c r="A10" s="122"/>
      <c r="B10" s="123"/>
      <c r="C10" s="124"/>
      <c r="D10" s="252"/>
      <c r="E10" s="252"/>
      <c r="F10" s="252"/>
      <c r="G10" s="252"/>
      <c r="H10" s="252"/>
      <c r="I10" s="124"/>
      <c r="J10" s="124"/>
      <c r="K10" s="118"/>
    </row>
    <row r="11" spans="1:11" s="11" customFormat="1" ht="38.25">
      <c r="A11" s="122">
        <v>1.1100000000000001</v>
      </c>
      <c r="B11" s="123" t="s">
        <v>226</v>
      </c>
      <c r="C11" s="124" t="s">
        <v>37</v>
      </c>
      <c r="D11" s="246">
        <f>D5+0.4</f>
        <v>8.8000000000000007</v>
      </c>
      <c r="E11" s="246">
        <f>E5+0.4</f>
        <v>5.1000000000000005</v>
      </c>
      <c r="F11" s="254"/>
      <c r="G11" s="252"/>
      <c r="H11" s="252" t="s">
        <v>129</v>
      </c>
      <c r="I11" s="417">
        <f>(D11*E11)+D12</f>
        <v>46.560000000000009</v>
      </c>
      <c r="J11" s="124">
        <v>100</v>
      </c>
      <c r="K11" s="118">
        <f>I11*J11</f>
        <v>4656.0000000000009</v>
      </c>
    </row>
    <row r="12" spans="1:11" s="11" customFormat="1">
      <c r="A12" s="122"/>
      <c r="B12" s="123"/>
      <c r="C12" s="124"/>
      <c r="D12" s="252">
        <f>D6*E6</f>
        <v>1.68</v>
      </c>
      <c r="E12" s="252"/>
      <c r="F12" s="252"/>
      <c r="G12" s="252"/>
      <c r="H12" s="252"/>
      <c r="I12" s="124"/>
      <c r="J12" s="124"/>
      <c r="K12" s="118"/>
    </row>
    <row r="13" spans="1:11" s="11" customFormat="1">
      <c r="A13" s="110">
        <v>1.2</v>
      </c>
      <c r="B13" s="111" t="s">
        <v>179</v>
      </c>
      <c r="C13" s="124"/>
      <c r="D13" s="252"/>
      <c r="E13" s="252"/>
      <c r="F13" s="252"/>
      <c r="G13" s="252"/>
      <c r="H13" s="252"/>
      <c r="I13" s="124"/>
      <c r="J13" s="124"/>
      <c r="K13" s="118"/>
    </row>
    <row r="14" spans="1:11" s="11" customFormat="1">
      <c r="A14" s="122"/>
      <c r="B14" s="123"/>
      <c r="C14" s="124"/>
      <c r="D14" s="252"/>
      <c r="E14" s="252"/>
      <c r="F14" s="252"/>
      <c r="G14" s="252"/>
      <c r="H14" s="252"/>
      <c r="I14" s="124"/>
      <c r="J14" s="124"/>
      <c r="K14" s="118"/>
    </row>
    <row r="15" spans="1:11" s="11" customFormat="1" ht="38.25">
      <c r="A15" s="122"/>
      <c r="B15" s="123" t="s">
        <v>349</v>
      </c>
      <c r="C15" s="124"/>
      <c r="D15" s="252"/>
      <c r="E15" s="252"/>
      <c r="F15" s="252"/>
      <c r="G15" s="252"/>
      <c r="H15" s="252"/>
      <c r="I15" s="124"/>
      <c r="J15" s="124"/>
      <c r="K15" s="118"/>
    </row>
    <row r="16" spans="1:11" s="11" customFormat="1">
      <c r="A16" s="122"/>
      <c r="B16" s="123"/>
      <c r="C16" s="124"/>
      <c r="D16" s="252"/>
      <c r="E16" s="252"/>
      <c r="F16" s="252"/>
      <c r="G16" s="252"/>
      <c r="H16" s="252"/>
      <c r="I16" s="124"/>
      <c r="J16" s="124"/>
      <c r="K16" s="118"/>
    </row>
    <row r="17" spans="1:11" s="11" customFormat="1" ht="15.75">
      <c r="A17" s="399">
        <v>1.21</v>
      </c>
      <c r="B17" s="400" t="s">
        <v>43</v>
      </c>
      <c r="C17" s="401" t="s">
        <v>34</v>
      </c>
      <c r="D17" s="412">
        <f>(D5*E7)+0.4</f>
        <v>28.959999999999997</v>
      </c>
      <c r="E17" s="402">
        <f>D6+E6+D18</f>
        <v>7.64</v>
      </c>
      <c r="F17" s="483"/>
      <c r="G17" s="400"/>
      <c r="H17" s="403" t="s">
        <v>130</v>
      </c>
      <c r="I17" s="425">
        <f>D17+E17+D18</f>
        <v>41.639999999999993</v>
      </c>
      <c r="J17" s="401">
        <v>250</v>
      </c>
      <c r="K17" s="404">
        <f>I17*J17</f>
        <v>10409.999999999998</v>
      </c>
    </row>
    <row r="18" spans="1:11" s="11" customFormat="1">
      <c r="A18" s="122"/>
      <c r="B18" s="123"/>
      <c r="C18" s="124"/>
      <c r="D18" s="252">
        <f>0.6*D5</f>
        <v>5.04</v>
      </c>
      <c r="E18" s="252"/>
      <c r="F18" s="252"/>
      <c r="G18" s="252"/>
      <c r="H18" s="252"/>
      <c r="I18" s="124"/>
      <c r="J18" s="124"/>
      <c r="K18" s="118"/>
    </row>
    <row r="19" spans="1:11" s="11" customFormat="1" ht="15.75">
      <c r="A19" s="399">
        <v>1.22</v>
      </c>
      <c r="B19" s="400" t="s">
        <v>424</v>
      </c>
      <c r="C19" s="401" t="s">
        <v>34</v>
      </c>
      <c r="D19" s="402"/>
      <c r="E19" s="402"/>
      <c r="F19" s="402"/>
      <c r="G19" s="400"/>
      <c r="H19" s="403"/>
      <c r="I19" s="425">
        <f>0.3*I17</f>
        <v>12.491999999999997</v>
      </c>
      <c r="J19" s="401">
        <v>300</v>
      </c>
      <c r="K19" s="404">
        <f>I19*J19</f>
        <v>3747.599999999999</v>
      </c>
    </row>
    <row r="20" spans="1:11" s="11" customFormat="1">
      <c r="A20" s="122"/>
      <c r="B20" s="123"/>
      <c r="C20" s="124"/>
      <c r="D20" s="252"/>
      <c r="E20" s="252"/>
      <c r="F20" s="252"/>
      <c r="G20" s="252"/>
      <c r="H20" s="252"/>
      <c r="I20" s="124"/>
      <c r="J20" s="124"/>
      <c r="K20" s="118"/>
    </row>
    <row r="21" spans="1:11" s="11" customFormat="1" ht="38.25" customHeight="1">
      <c r="A21" s="127">
        <v>1.23</v>
      </c>
      <c r="B21" s="123" t="s">
        <v>363</v>
      </c>
      <c r="C21" s="124" t="s">
        <v>34</v>
      </c>
      <c r="D21" s="252"/>
      <c r="E21" s="252"/>
      <c r="F21" s="252"/>
      <c r="G21" s="252"/>
      <c r="H21" s="319" t="s">
        <v>119</v>
      </c>
      <c r="I21" s="418">
        <f>(I11*0.25)+(30%*(I17+I19))</f>
        <v>27.879599999999996</v>
      </c>
      <c r="J21" s="251">
        <v>350</v>
      </c>
      <c r="K21" s="118">
        <f>I21*J21</f>
        <v>9757.8599999999988</v>
      </c>
    </row>
    <row r="22" spans="1:11" s="11" customFormat="1">
      <c r="A22" s="122"/>
      <c r="B22" s="123"/>
      <c r="C22" s="124"/>
      <c r="D22" s="252"/>
      <c r="E22" s="252"/>
      <c r="F22" s="252"/>
      <c r="G22" s="252"/>
      <c r="H22" s="252"/>
      <c r="I22" s="124"/>
      <c r="J22" s="124"/>
      <c r="K22" s="118"/>
    </row>
    <row r="23" spans="1:11" s="11" customFormat="1" ht="38.25">
      <c r="A23" s="405">
        <v>1.24</v>
      </c>
      <c r="B23" s="406" t="s">
        <v>435</v>
      </c>
      <c r="C23" s="407" t="s">
        <v>34</v>
      </c>
      <c r="D23" s="406"/>
      <c r="E23" s="406"/>
      <c r="F23" s="406"/>
      <c r="G23" s="406"/>
      <c r="H23" s="408" t="s">
        <v>204</v>
      </c>
      <c r="I23" s="428">
        <f>60%*(SUM($I17:$I19))</f>
        <v>32.479199999999992</v>
      </c>
      <c r="J23" s="401">
        <v>600</v>
      </c>
      <c r="K23" s="404">
        <f>I23*J23</f>
        <v>19487.519999999997</v>
      </c>
    </row>
    <row r="24" spans="1:11" s="11" customFormat="1">
      <c r="A24" s="128"/>
      <c r="B24" s="249"/>
      <c r="C24" s="130"/>
      <c r="D24" s="264"/>
      <c r="E24" s="264"/>
      <c r="F24" s="264"/>
      <c r="G24" s="264"/>
      <c r="H24" s="264"/>
      <c r="I24" s="130"/>
      <c r="J24" s="124"/>
      <c r="K24" s="118"/>
    </row>
    <row r="25" spans="1:11" s="11" customFormat="1" ht="15.75">
      <c r="A25" s="405">
        <v>1.25</v>
      </c>
      <c r="B25" s="406" t="s">
        <v>35</v>
      </c>
      <c r="C25" s="407" t="s">
        <v>34</v>
      </c>
      <c r="D25" s="406"/>
      <c r="E25" s="406"/>
      <c r="F25" s="406"/>
      <c r="G25" s="406"/>
      <c r="H25" s="408" t="s">
        <v>153</v>
      </c>
      <c r="I25" s="428">
        <f>30%*(SUM($I17:$I19))</f>
        <v>16.239599999999996</v>
      </c>
      <c r="J25" s="401">
        <v>960</v>
      </c>
      <c r="K25" s="404">
        <f>I25*J25</f>
        <v>15590.015999999996</v>
      </c>
    </row>
    <row r="26" spans="1:11" s="11" customFormat="1">
      <c r="A26" s="128"/>
      <c r="B26" s="249"/>
      <c r="C26" s="130"/>
      <c r="D26" s="264"/>
      <c r="E26" s="264"/>
      <c r="F26" s="264"/>
      <c r="G26" s="264"/>
      <c r="H26" s="264"/>
      <c r="I26" s="130"/>
      <c r="J26" s="124"/>
      <c r="K26" s="118"/>
    </row>
    <row r="27" spans="1:11" s="11" customFormat="1" ht="15.75">
      <c r="A27" s="405">
        <v>1.26</v>
      </c>
      <c r="B27" s="406" t="s">
        <v>36</v>
      </c>
      <c r="C27" s="407" t="s">
        <v>34</v>
      </c>
      <c r="D27" s="406"/>
      <c r="E27" s="406"/>
      <c r="F27" s="406"/>
      <c r="G27" s="406"/>
      <c r="H27" s="408" t="s">
        <v>203</v>
      </c>
      <c r="I27" s="429">
        <f>10%*(SUM($I17:$I19))</f>
        <v>5.4131999999999998</v>
      </c>
      <c r="J27" s="401">
        <v>1800</v>
      </c>
      <c r="K27" s="404">
        <f>I27*J27</f>
        <v>9743.76</v>
      </c>
    </row>
    <row r="28" spans="1:11" s="11" customFormat="1">
      <c r="A28" s="133"/>
      <c r="B28" s="129"/>
      <c r="C28" s="130"/>
      <c r="D28" s="264"/>
      <c r="E28" s="264"/>
      <c r="F28" s="264"/>
      <c r="G28" s="264"/>
      <c r="H28" s="264"/>
      <c r="I28" s="130"/>
      <c r="J28" s="124"/>
      <c r="K28" s="118"/>
    </row>
    <row r="29" spans="1:11" s="11" customFormat="1">
      <c r="A29" s="133">
        <v>1.3</v>
      </c>
      <c r="B29" s="111" t="s">
        <v>180</v>
      </c>
      <c r="C29" s="130"/>
      <c r="D29" s="264"/>
      <c r="E29" s="264"/>
      <c r="F29" s="264"/>
      <c r="G29" s="264"/>
      <c r="H29" s="264"/>
      <c r="I29" s="130"/>
      <c r="J29" s="124"/>
      <c r="K29" s="118"/>
    </row>
    <row r="30" spans="1:11" s="11" customFormat="1">
      <c r="A30" s="133"/>
      <c r="B30" s="129"/>
      <c r="C30" s="130"/>
      <c r="D30" s="264"/>
      <c r="E30" s="264"/>
      <c r="F30" s="264"/>
      <c r="G30" s="264"/>
      <c r="H30" s="264"/>
      <c r="I30" s="130"/>
      <c r="J30" s="124"/>
      <c r="K30" s="118"/>
    </row>
    <row r="31" spans="1:11" s="11" customFormat="1" ht="25.5">
      <c r="A31" s="122">
        <v>1.31</v>
      </c>
      <c r="B31" s="123" t="s">
        <v>205</v>
      </c>
      <c r="C31" s="124" t="s">
        <v>34</v>
      </c>
      <c r="D31" s="310">
        <f>D5+0.4</f>
        <v>8.8000000000000007</v>
      </c>
      <c r="E31" s="310">
        <f>E5+0.4</f>
        <v>5.1000000000000005</v>
      </c>
      <c r="F31" s="310">
        <v>0.25</v>
      </c>
      <c r="G31" s="252"/>
      <c r="H31" s="319" t="s">
        <v>132</v>
      </c>
      <c r="I31" s="417">
        <f>((D31*E31)+E32)*F31</f>
        <v>11.640000000000002</v>
      </c>
      <c r="J31" s="124">
        <v>980</v>
      </c>
      <c r="K31" s="118">
        <f>I31*J31</f>
        <v>11407.200000000003</v>
      </c>
    </row>
    <row r="32" spans="1:11" s="11" customFormat="1">
      <c r="A32" s="122"/>
      <c r="B32" s="123"/>
      <c r="C32" s="124"/>
      <c r="D32" s="310"/>
      <c r="E32" s="310">
        <f>1.2*1.4</f>
        <v>1.68</v>
      </c>
      <c r="F32" s="310"/>
      <c r="G32" s="252"/>
      <c r="H32" s="252"/>
      <c r="I32" s="124"/>
      <c r="J32" s="123"/>
      <c r="K32" s="118"/>
    </row>
    <row r="33" spans="1:11" s="154" customFormat="1" ht="15">
      <c r="A33" s="487" t="s">
        <v>111</v>
      </c>
      <c r="B33" s="488"/>
      <c r="C33" s="488"/>
      <c r="D33" s="488"/>
      <c r="E33" s="488"/>
      <c r="F33" s="488"/>
      <c r="G33" s="488"/>
      <c r="H33" s="488"/>
      <c r="I33" s="488"/>
      <c r="J33" s="489"/>
      <c r="K33" s="240">
        <f>SUM(K5:K32)</f>
        <v>84799.955999999991</v>
      </c>
    </row>
    <row r="34" spans="1:11" s="11" customFormat="1">
      <c r="A34" s="107"/>
      <c r="B34" s="134"/>
      <c r="C34" s="109"/>
      <c r="D34" s="311"/>
      <c r="E34" s="311"/>
      <c r="F34" s="311"/>
      <c r="G34" s="311"/>
      <c r="H34" s="311"/>
      <c r="I34" s="109"/>
      <c r="J34" s="118"/>
      <c r="K34" s="118"/>
    </row>
    <row r="35" spans="1:11" s="11" customFormat="1">
      <c r="A35" s="110">
        <v>2</v>
      </c>
      <c r="B35" s="250" t="s">
        <v>154</v>
      </c>
      <c r="C35" s="112"/>
      <c r="D35" s="246"/>
      <c r="E35" s="246"/>
      <c r="F35" s="246"/>
      <c r="G35" s="246"/>
      <c r="H35" s="246"/>
      <c r="I35" s="112"/>
      <c r="J35" s="117"/>
      <c r="K35" s="118"/>
    </row>
    <row r="36" spans="1:11" s="11" customFormat="1">
      <c r="A36" s="119"/>
      <c r="B36" s="120"/>
      <c r="C36" s="112"/>
      <c r="D36" s="246"/>
      <c r="E36" s="246"/>
      <c r="F36" s="246"/>
      <c r="G36" s="246"/>
      <c r="H36" s="246"/>
      <c r="I36" s="112"/>
      <c r="J36" s="117"/>
      <c r="K36" s="118"/>
    </row>
    <row r="37" spans="1:11" s="11" customFormat="1">
      <c r="A37" s="119">
        <v>2.1</v>
      </c>
      <c r="B37" s="136" t="s">
        <v>282</v>
      </c>
      <c r="C37" s="112"/>
      <c r="D37" s="246"/>
      <c r="E37" s="246"/>
      <c r="F37" s="246"/>
      <c r="G37" s="246"/>
      <c r="H37" s="246"/>
      <c r="I37" s="112"/>
      <c r="J37" s="117"/>
      <c r="K37" s="118"/>
    </row>
    <row r="38" spans="1:11" s="11" customFormat="1">
      <c r="A38" s="119"/>
      <c r="B38" s="129"/>
      <c r="C38" s="112"/>
      <c r="D38" s="246"/>
      <c r="E38" s="246"/>
      <c r="F38" s="246"/>
      <c r="G38" s="246"/>
      <c r="H38" s="246"/>
      <c r="I38" s="112"/>
      <c r="J38" s="117"/>
      <c r="K38" s="118"/>
    </row>
    <row r="39" spans="1:11" s="11" customFormat="1" ht="15.75">
      <c r="A39" s="130">
        <v>2.11</v>
      </c>
      <c r="B39" s="129" t="s">
        <v>439</v>
      </c>
      <c r="C39" s="112" t="s">
        <v>37</v>
      </c>
      <c r="D39" s="246"/>
      <c r="E39" s="246"/>
      <c r="F39" s="246"/>
      <c r="G39" s="246"/>
      <c r="H39" s="246"/>
      <c r="I39" s="421">
        <f>I31</f>
        <v>11.640000000000002</v>
      </c>
      <c r="J39" s="117">
        <v>150</v>
      </c>
      <c r="K39" s="118">
        <f>I39*J39</f>
        <v>1746.0000000000005</v>
      </c>
    </row>
    <row r="40" spans="1:11" s="11" customFormat="1">
      <c r="A40" s="122"/>
      <c r="B40" s="129"/>
      <c r="C40" s="112"/>
      <c r="D40" s="246"/>
      <c r="E40" s="246"/>
      <c r="F40" s="246"/>
      <c r="G40" s="246"/>
      <c r="H40" s="246"/>
      <c r="I40" s="112"/>
      <c r="J40" s="117"/>
      <c r="K40" s="118"/>
    </row>
    <row r="41" spans="1:11" s="11" customFormat="1">
      <c r="A41" s="110">
        <v>2.2000000000000002</v>
      </c>
      <c r="B41" s="111" t="s">
        <v>48</v>
      </c>
      <c r="C41" s="112"/>
      <c r="D41" s="246"/>
      <c r="E41" s="246"/>
      <c r="F41" s="246"/>
      <c r="G41" s="246"/>
      <c r="H41" s="246"/>
      <c r="I41" s="112"/>
      <c r="J41" s="117"/>
      <c r="K41" s="118"/>
    </row>
    <row r="42" spans="1:11" s="11" customFormat="1" ht="15">
      <c r="A42" s="139"/>
      <c r="B42" s="140"/>
      <c r="C42" s="141"/>
      <c r="D42" s="312"/>
      <c r="E42" s="312"/>
      <c r="F42" s="312"/>
      <c r="G42" s="312"/>
      <c r="H42" s="312"/>
      <c r="I42" s="141"/>
      <c r="J42" s="143"/>
      <c r="K42" s="144"/>
    </row>
    <row r="43" spans="1:11" s="11" customFormat="1" ht="25.5">
      <c r="A43" s="122">
        <v>2.21</v>
      </c>
      <c r="B43" s="129" t="s">
        <v>198</v>
      </c>
      <c r="C43" s="112" t="s">
        <v>12</v>
      </c>
      <c r="D43" s="246">
        <f>(D47*2)+(E47*2)</f>
        <v>25.200000000000003</v>
      </c>
      <c r="E43" s="246">
        <f>(D48*2)+E48</f>
        <v>11</v>
      </c>
      <c r="F43" s="246"/>
      <c r="G43" s="246"/>
      <c r="H43" s="246" t="s">
        <v>202</v>
      </c>
      <c r="I43" s="422">
        <f>((D43*D44)+(E43*E44))*0.6</f>
        <v>2.0760000000000001</v>
      </c>
      <c r="J43" s="117">
        <v>13970</v>
      </c>
      <c r="K43" s="118">
        <f>I43*J43</f>
        <v>29001.72</v>
      </c>
    </row>
    <row r="44" spans="1:11" s="11" customFormat="1">
      <c r="A44" s="122"/>
      <c r="B44" s="129"/>
      <c r="C44" s="112"/>
      <c r="D44" s="246">
        <v>0.05</v>
      </c>
      <c r="E44" s="246">
        <v>0.2</v>
      </c>
      <c r="F44" s="246"/>
      <c r="G44" s="246"/>
      <c r="H44" s="246"/>
      <c r="I44" s="112"/>
      <c r="J44" s="117"/>
      <c r="K44" s="118"/>
    </row>
    <row r="45" spans="1:11" s="11" customFormat="1" ht="55.5" customHeight="1">
      <c r="A45" s="122">
        <v>2.2200000000000002</v>
      </c>
      <c r="B45" s="123" t="s">
        <v>449</v>
      </c>
      <c r="C45" s="248" t="s">
        <v>77</v>
      </c>
      <c r="D45" s="246">
        <f>D5+0.4</f>
        <v>8.8000000000000007</v>
      </c>
      <c r="E45" s="246">
        <f>E5+0.4</f>
        <v>5.1000000000000005</v>
      </c>
      <c r="F45" s="246">
        <f>(0.8*E45)+(0.5*0.6*2)</f>
        <v>4.6800000000000006</v>
      </c>
      <c r="G45" s="246"/>
      <c r="H45" s="246" t="s">
        <v>131</v>
      </c>
      <c r="I45" s="422">
        <f>((D45*E45)+E46+F45)</f>
        <v>51.240000000000009</v>
      </c>
      <c r="J45" s="117">
        <v>495</v>
      </c>
      <c r="K45" s="118">
        <f>I45*J45</f>
        <v>25363.800000000003</v>
      </c>
    </row>
    <row r="46" spans="1:11" s="11" customFormat="1">
      <c r="A46" s="145"/>
      <c r="B46" s="146"/>
      <c r="C46" s="147"/>
      <c r="D46" s="310"/>
      <c r="E46" s="310">
        <f>E32</f>
        <v>1.68</v>
      </c>
      <c r="F46" s="313"/>
      <c r="G46" s="313"/>
      <c r="H46" s="313"/>
      <c r="I46" s="147"/>
      <c r="J46" s="148"/>
      <c r="K46" s="149"/>
    </row>
    <row r="47" spans="1:11" s="11" customFormat="1" ht="58.5" customHeight="1">
      <c r="A47" s="122">
        <v>2.23</v>
      </c>
      <c r="B47" s="244" t="s">
        <v>452</v>
      </c>
      <c r="C47" s="112" t="s">
        <v>12</v>
      </c>
      <c r="D47" s="246">
        <v>3.8</v>
      </c>
      <c r="E47" s="246">
        <v>8.8000000000000007</v>
      </c>
      <c r="F47" s="246"/>
      <c r="G47" s="246">
        <v>1.2</v>
      </c>
      <c r="H47" s="246"/>
      <c r="I47" s="422">
        <f>((D47*E47)+(D48*E48)+(G47*G48))*0.15</f>
        <v>6.9059999999999997</v>
      </c>
      <c r="J47" s="117">
        <v>13970</v>
      </c>
      <c r="K47" s="118">
        <f>I47*J47</f>
        <v>96476.819999999992</v>
      </c>
    </row>
    <row r="48" spans="1:11" s="11" customFormat="1">
      <c r="A48" s="122"/>
      <c r="B48" s="129"/>
      <c r="C48" s="112"/>
      <c r="D48" s="246">
        <v>1.3</v>
      </c>
      <c r="E48" s="246">
        <v>8.4</v>
      </c>
      <c r="F48" s="246"/>
      <c r="G48" s="246">
        <v>1.4</v>
      </c>
      <c r="H48" s="246"/>
      <c r="I48" s="112"/>
      <c r="J48" s="117"/>
      <c r="K48" s="118"/>
    </row>
    <row r="49" spans="1:11" s="11" customFormat="1" ht="25.5">
      <c r="A49" s="122">
        <v>2.2400000000000002</v>
      </c>
      <c r="B49" s="129" t="s">
        <v>199</v>
      </c>
      <c r="C49" s="112" t="s">
        <v>12</v>
      </c>
      <c r="D49" s="246">
        <v>0.2</v>
      </c>
      <c r="E49" s="246">
        <v>0.2</v>
      </c>
      <c r="F49" s="246">
        <v>1.1499999999999999</v>
      </c>
      <c r="G49" s="246">
        <v>12</v>
      </c>
      <c r="H49" s="246" t="s">
        <v>134</v>
      </c>
      <c r="I49" s="422">
        <f>D49*E49*F49*G49</f>
        <v>0.55200000000000005</v>
      </c>
      <c r="J49" s="117">
        <v>13970</v>
      </c>
      <c r="K49" s="118">
        <f>I49*J49</f>
        <v>7711.4400000000005</v>
      </c>
    </row>
    <row r="50" spans="1:11" s="11" customFormat="1">
      <c r="A50" s="122"/>
      <c r="B50" s="129"/>
      <c r="C50" s="112"/>
      <c r="D50" s="246"/>
      <c r="E50" s="246"/>
      <c r="F50" s="246"/>
      <c r="G50" s="246"/>
      <c r="H50" s="246"/>
      <c r="I50" s="112"/>
      <c r="J50" s="117"/>
      <c r="K50" s="118"/>
    </row>
    <row r="51" spans="1:11" s="11" customFormat="1">
      <c r="A51" s="119">
        <v>2.2999999999999998</v>
      </c>
      <c r="B51" s="136" t="s">
        <v>82</v>
      </c>
      <c r="C51" s="112"/>
      <c r="D51" s="246"/>
      <c r="E51" s="246"/>
      <c r="F51" s="246"/>
      <c r="G51" s="246"/>
      <c r="H51" s="246"/>
      <c r="I51" s="112"/>
      <c r="J51" s="117"/>
      <c r="K51" s="118"/>
    </row>
    <row r="52" spans="1:11" s="11" customFormat="1">
      <c r="A52" s="119"/>
      <c r="B52" s="136"/>
      <c r="C52" s="112"/>
      <c r="D52" s="246"/>
      <c r="E52" s="246"/>
      <c r="F52" s="246"/>
      <c r="G52" s="246"/>
      <c r="H52" s="246"/>
      <c r="I52" s="112"/>
      <c r="J52" s="117"/>
      <c r="K52" s="118"/>
    </row>
    <row r="53" spans="1:11" s="11" customFormat="1" ht="58.5" customHeight="1">
      <c r="A53" s="122">
        <v>2.31</v>
      </c>
      <c r="B53" s="264" t="s">
        <v>463</v>
      </c>
      <c r="C53" s="112" t="s">
        <v>37</v>
      </c>
      <c r="D53" s="246"/>
      <c r="E53" s="246"/>
      <c r="F53" s="246"/>
      <c r="G53" s="246"/>
      <c r="H53" s="246" t="s">
        <v>136</v>
      </c>
      <c r="I53" s="423">
        <f>I47/0.15</f>
        <v>46.04</v>
      </c>
      <c r="J53" s="124">
        <v>450</v>
      </c>
      <c r="K53" s="118">
        <f>I53*J53</f>
        <v>20718</v>
      </c>
    </row>
    <row r="54" spans="1:11" s="11" customFormat="1">
      <c r="A54" s="122"/>
      <c r="B54" s="129"/>
      <c r="C54" s="112"/>
      <c r="D54" s="246"/>
      <c r="E54" s="246"/>
      <c r="F54" s="246"/>
      <c r="G54" s="246"/>
      <c r="H54" s="246"/>
      <c r="I54" s="112"/>
      <c r="J54" s="117"/>
      <c r="K54" s="118"/>
    </row>
    <row r="55" spans="1:11" s="11" customFormat="1">
      <c r="A55" s="122">
        <v>2.3199999999999998</v>
      </c>
      <c r="B55" s="249" t="s">
        <v>45</v>
      </c>
      <c r="C55" s="112" t="s">
        <v>38</v>
      </c>
      <c r="D55" s="246"/>
      <c r="E55" s="246"/>
      <c r="F55" s="246"/>
      <c r="G55" s="246"/>
      <c r="H55" s="246"/>
      <c r="I55" s="112">
        <v>213</v>
      </c>
      <c r="J55" s="117">
        <v>150</v>
      </c>
      <c r="K55" s="118">
        <f>I55*J55</f>
        <v>31950</v>
      </c>
    </row>
    <row r="56" spans="1:11" s="11" customFormat="1">
      <c r="A56" s="122"/>
      <c r="B56" s="129"/>
      <c r="C56" s="112"/>
      <c r="D56" s="246"/>
      <c r="E56" s="246"/>
      <c r="F56" s="246"/>
      <c r="G56" s="246"/>
      <c r="H56" s="246"/>
      <c r="I56" s="112"/>
      <c r="J56" s="117"/>
      <c r="K56" s="118"/>
    </row>
    <row r="57" spans="1:11" s="11" customFormat="1">
      <c r="A57" s="119">
        <v>2.4</v>
      </c>
      <c r="B57" s="136" t="s">
        <v>39</v>
      </c>
      <c r="C57" s="112"/>
      <c r="D57" s="252"/>
      <c r="E57" s="252"/>
      <c r="F57" s="252"/>
      <c r="G57" s="252"/>
      <c r="H57" s="252"/>
      <c r="I57" s="124"/>
      <c r="J57" s="123"/>
      <c r="K57" s="118"/>
    </row>
    <row r="58" spans="1:11" s="11" customFormat="1">
      <c r="A58" s="122"/>
      <c r="B58" s="71"/>
      <c r="C58" s="79"/>
      <c r="D58" s="246"/>
      <c r="E58" s="246"/>
      <c r="F58" s="246"/>
      <c r="G58" s="246"/>
      <c r="H58" s="246"/>
      <c r="I58" s="112"/>
      <c r="J58" s="117"/>
      <c r="K58" s="118"/>
    </row>
    <row r="59" spans="1:11" s="11" customFormat="1" ht="25.5">
      <c r="A59" s="122"/>
      <c r="B59" s="129" t="s">
        <v>40</v>
      </c>
      <c r="C59" s="130"/>
      <c r="D59" s="246"/>
      <c r="E59" s="246"/>
      <c r="F59" s="246"/>
      <c r="G59" s="246"/>
      <c r="H59" s="246"/>
      <c r="I59" s="112"/>
      <c r="J59" s="117"/>
      <c r="K59" s="118"/>
    </row>
    <row r="60" spans="1:11" s="11" customFormat="1">
      <c r="A60" s="122"/>
      <c r="B60" s="129"/>
      <c r="C60" s="130"/>
      <c r="D60" s="246"/>
      <c r="E60" s="246"/>
      <c r="F60" s="246"/>
      <c r="G60" s="246"/>
      <c r="H60" s="246"/>
      <c r="I60" s="112"/>
      <c r="J60" s="117"/>
      <c r="K60" s="118"/>
    </row>
    <row r="61" spans="1:11" s="11" customFormat="1">
      <c r="A61" s="122"/>
      <c r="B61" s="129" t="s">
        <v>54</v>
      </c>
      <c r="C61" s="130"/>
      <c r="D61" s="246"/>
      <c r="E61" s="246"/>
      <c r="F61" s="246"/>
      <c r="G61" s="246"/>
      <c r="H61" s="246"/>
      <c r="I61" s="112"/>
      <c r="J61" s="117"/>
      <c r="K61" s="118"/>
    </row>
    <row r="62" spans="1:11" s="11" customFormat="1">
      <c r="A62" s="122"/>
      <c r="B62" s="129"/>
      <c r="C62" s="130"/>
      <c r="D62" s="246"/>
      <c r="E62" s="246"/>
      <c r="F62" s="246"/>
      <c r="G62" s="246"/>
      <c r="H62" s="246"/>
      <c r="I62" s="112"/>
      <c r="J62" s="117"/>
      <c r="K62" s="118"/>
    </row>
    <row r="63" spans="1:11" s="11" customFormat="1" ht="15.75">
      <c r="A63" s="122">
        <v>2.41</v>
      </c>
      <c r="B63" s="129" t="s">
        <v>55</v>
      </c>
      <c r="C63" s="130" t="s">
        <v>37</v>
      </c>
      <c r="D63" s="246">
        <v>1.1499999999999999</v>
      </c>
      <c r="E63" s="246">
        <v>0.2</v>
      </c>
      <c r="F63" s="246">
        <v>12</v>
      </c>
      <c r="H63" s="246" t="s">
        <v>56</v>
      </c>
      <c r="I63" s="112">
        <f>12*4*(D63*E63)</f>
        <v>11.04</v>
      </c>
      <c r="J63" s="117">
        <v>500</v>
      </c>
      <c r="K63" s="118">
        <f>I63*J63</f>
        <v>5520</v>
      </c>
    </row>
    <row r="64" spans="1:11" s="11" customFormat="1">
      <c r="A64" s="122"/>
      <c r="B64" s="129"/>
      <c r="C64" s="130"/>
      <c r="D64" s="246"/>
      <c r="E64" s="246"/>
      <c r="F64" s="246"/>
      <c r="G64" s="246"/>
      <c r="H64" s="246"/>
      <c r="I64" s="112"/>
      <c r="J64" s="117"/>
      <c r="K64" s="118"/>
    </row>
    <row r="65" spans="1:11" s="11" customFormat="1">
      <c r="A65" s="119">
        <v>2.5</v>
      </c>
      <c r="B65" s="136" t="s">
        <v>118</v>
      </c>
      <c r="C65" s="130"/>
      <c r="D65" s="246"/>
      <c r="E65" s="246"/>
      <c r="F65" s="246"/>
      <c r="G65" s="246"/>
      <c r="H65" s="246"/>
      <c r="I65" s="112"/>
      <c r="J65" s="117"/>
      <c r="K65" s="118"/>
    </row>
    <row r="66" spans="1:11" s="11" customFormat="1">
      <c r="A66" s="119"/>
      <c r="B66" s="136"/>
      <c r="C66" s="130"/>
      <c r="D66" s="246"/>
      <c r="E66" s="246"/>
      <c r="F66" s="246"/>
      <c r="G66" s="246"/>
      <c r="H66" s="246"/>
      <c r="I66" s="112"/>
      <c r="J66" s="117"/>
      <c r="K66" s="118"/>
    </row>
    <row r="67" spans="1:11" s="11" customFormat="1" ht="25.5">
      <c r="A67" s="122">
        <v>2.5099999999999998</v>
      </c>
      <c r="B67" s="249" t="s">
        <v>206</v>
      </c>
      <c r="C67" s="112" t="s">
        <v>37</v>
      </c>
      <c r="D67" s="246">
        <v>3.2</v>
      </c>
      <c r="E67" s="246">
        <v>8</v>
      </c>
      <c r="F67" s="246"/>
      <c r="G67" s="246">
        <v>1</v>
      </c>
      <c r="H67" s="246"/>
      <c r="I67" s="112">
        <f>(D67*E67)+(D68*E68)+(G67*G68)</f>
        <v>33.800000000000004</v>
      </c>
      <c r="J67" s="117">
        <v>320</v>
      </c>
      <c r="K67" s="118">
        <f>I67*J67</f>
        <v>10816.000000000002</v>
      </c>
    </row>
    <row r="68" spans="1:11" s="11" customFormat="1">
      <c r="A68" s="119"/>
      <c r="B68" s="129"/>
      <c r="C68" s="79"/>
      <c r="D68" s="246">
        <v>0.9</v>
      </c>
      <c r="E68" s="246">
        <v>8</v>
      </c>
      <c r="F68" s="246"/>
      <c r="G68" s="246">
        <v>1</v>
      </c>
      <c r="H68" s="246"/>
      <c r="I68" s="112"/>
      <c r="J68" s="117"/>
      <c r="K68" s="118"/>
    </row>
    <row r="69" spans="1:11" s="154" customFormat="1" ht="15">
      <c r="A69" s="487" t="s">
        <v>102</v>
      </c>
      <c r="B69" s="488"/>
      <c r="C69" s="488"/>
      <c r="D69" s="488"/>
      <c r="E69" s="488"/>
      <c r="F69" s="488"/>
      <c r="G69" s="488"/>
      <c r="H69" s="488"/>
      <c r="I69" s="488"/>
      <c r="J69" s="489"/>
      <c r="K69" s="240">
        <f>SUM(K34:K68)</f>
        <v>229303.78</v>
      </c>
    </row>
    <row r="70" spans="1:11" s="11" customFormat="1">
      <c r="A70" s="107"/>
      <c r="B70" s="134"/>
      <c r="C70" s="109"/>
      <c r="D70" s="311"/>
      <c r="E70" s="311"/>
      <c r="F70" s="311"/>
      <c r="G70" s="311"/>
      <c r="H70" s="311"/>
      <c r="I70" s="109"/>
      <c r="J70" s="118"/>
      <c r="K70" s="118"/>
    </row>
    <row r="71" spans="1:11" s="11" customFormat="1">
      <c r="A71" s="119">
        <v>3</v>
      </c>
      <c r="B71" s="136" t="s">
        <v>42</v>
      </c>
      <c r="C71" s="79"/>
      <c r="D71" s="252"/>
      <c r="E71" s="252"/>
      <c r="F71" s="252"/>
      <c r="G71" s="252"/>
      <c r="H71" s="252"/>
      <c r="I71" s="124"/>
      <c r="J71" s="123"/>
      <c r="K71" s="118"/>
    </row>
    <row r="72" spans="1:11" s="11" customFormat="1">
      <c r="A72" s="119"/>
      <c r="B72" s="249"/>
      <c r="C72" s="112"/>
      <c r="D72" s="246"/>
      <c r="E72" s="246"/>
      <c r="F72" s="246"/>
      <c r="G72" s="246"/>
      <c r="H72" s="246"/>
      <c r="I72" s="112"/>
      <c r="J72" s="117"/>
      <c r="K72" s="118"/>
    </row>
    <row r="73" spans="1:11" s="11" customFormat="1">
      <c r="A73" s="119">
        <v>3.1</v>
      </c>
      <c r="B73" s="136" t="s">
        <v>188</v>
      </c>
      <c r="C73" s="112"/>
      <c r="D73" s="246"/>
      <c r="E73" s="246"/>
      <c r="F73" s="246"/>
      <c r="G73" s="246"/>
      <c r="H73" s="246"/>
      <c r="I73" s="112"/>
      <c r="J73" s="117"/>
      <c r="K73" s="118"/>
    </row>
    <row r="74" spans="1:11" s="11" customFormat="1">
      <c r="A74" s="119"/>
      <c r="B74" s="249"/>
      <c r="C74" s="112"/>
      <c r="D74" s="246"/>
      <c r="E74" s="246"/>
      <c r="F74" s="246"/>
      <c r="G74" s="246"/>
      <c r="H74" s="246"/>
      <c r="I74" s="112"/>
      <c r="J74" s="117"/>
      <c r="K74" s="118"/>
    </row>
    <row r="75" spans="1:11" s="11" customFormat="1" ht="38.25">
      <c r="A75" s="122"/>
      <c r="B75" s="129" t="s">
        <v>260</v>
      </c>
      <c r="C75" s="112"/>
      <c r="D75" s="246"/>
      <c r="E75" s="246"/>
      <c r="F75" s="246"/>
      <c r="G75" s="246"/>
      <c r="H75" s="246"/>
      <c r="I75" s="112"/>
      <c r="J75" s="117"/>
      <c r="K75" s="118"/>
    </row>
    <row r="76" spans="1:11" s="11" customFormat="1">
      <c r="A76" s="119"/>
      <c r="B76" s="129"/>
      <c r="C76" s="112"/>
      <c r="D76" s="246"/>
      <c r="E76" s="246"/>
      <c r="F76" s="246"/>
      <c r="G76" s="246"/>
      <c r="H76" s="246"/>
      <c r="I76" s="112"/>
      <c r="J76" s="117"/>
      <c r="K76" s="118"/>
    </row>
    <row r="77" spans="1:11" s="11" customFormat="1" ht="15.75">
      <c r="A77" s="122">
        <v>3.11</v>
      </c>
      <c r="B77" s="129" t="s">
        <v>159</v>
      </c>
      <c r="C77" s="112" t="s">
        <v>37</v>
      </c>
      <c r="D77" s="310">
        <f>(1*8.4*2)+(1*3.2*2)</f>
        <v>23.200000000000003</v>
      </c>
      <c r="E77" s="310">
        <f>(0.46*8.4)+(0.15*8.4)+(0.46*1.3*2)</f>
        <v>6.32</v>
      </c>
      <c r="F77" s="246">
        <f>(0.45*3.4)</f>
        <v>1.53</v>
      </c>
      <c r="G77" s="252"/>
      <c r="H77" s="319" t="s">
        <v>244</v>
      </c>
      <c r="I77" s="430">
        <f>D77+E77+F77</f>
        <v>31.050000000000004</v>
      </c>
      <c r="J77" s="117">
        <v>2200</v>
      </c>
      <c r="K77" s="118">
        <f>I77*J77</f>
        <v>68310.000000000015</v>
      </c>
    </row>
    <row r="78" spans="1:11" s="11" customFormat="1">
      <c r="A78" s="119"/>
      <c r="B78" s="129"/>
      <c r="C78" s="112"/>
      <c r="E78" s="246"/>
      <c r="F78" s="246"/>
      <c r="G78" s="246"/>
      <c r="H78" s="246"/>
      <c r="I78" s="112"/>
      <c r="J78" s="117"/>
      <c r="K78" s="118"/>
    </row>
    <row r="79" spans="1:11" s="11" customFormat="1">
      <c r="A79" s="119">
        <v>3.2</v>
      </c>
      <c r="B79" s="136" t="s">
        <v>177</v>
      </c>
      <c r="C79" s="112"/>
      <c r="D79" s="246"/>
      <c r="E79" s="246"/>
      <c r="F79" s="246"/>
      <c r="G79" s="246"/>
      <c r="H79" s="246"/>
      <c r="I79" s="112"/>
      <c r="J79" s="117"/>
      <c r="K79" s="118"/>
    </row>
    <row r="80" spans="1:11" s="11" customFormat="1">
      <c r="A80" s="119"/>
      <c r="B80" s="129"/>
      <c r="C80" s="112"/>
      <c r="D80" s="246"/>
      <c r="E80" s="246"/>
      <c r="F80" s="246"/>
      <c r="G80" s="246"/>
      <c r="H80" s="246"/>
      <c r="I80" s="112"/>
      <c r="J80" s="117"/>
      <c r="K80" s="118"/>
    </row>
    <row r="81" spans="1:11" s="11" customFormat="1" ht="15.75">
      <c r="A81" s="122">
        <v>3.21</v>
      </c>
      <c r="B81" s="123" t="s">
        <v>207</v>
      </c>
      <c r="C81" s="112" t="s">
        <v>37</v>
      </c>
      <c r="D81" s="246"/>
      <c r="E81" s="246"/>
      <c r="F81" s="246"/>
      <c r="G81" s="246"/>
      <c r="H81" s="246" t="s">
        <v>117</v>
      </c>
      <c r="I81" s="248">
        <f>I77*2</f>
        <v>62.100000000000009</v>
      </c>
      <c r="J81" s="117">
        <v>550</v>
      </c>
      <c r="K81" s="118">
        <f>I81*J81</f>
        <v>34155.000000000007</v>
      </c>
    </row>
    <row r="82" spans="1:11" s="11" customFormat="1">
      <c r="A82" s="119"/>
      <c r="B82" s="129"/>
      <c r="C82" s="79"/>
      <c r="D82" s="246"/>
      <c r="E82" s="246"/>
      <c r="F82" s="246"/>
      <c r="G82" s="246"/>
      <c r="H82" s="246"/>
      <c r="I82" s="112"/>
      <c r="J82" s="117"/>
      <c r="K82" s="118"/>
    </row>
    <row r="83" spans="1:11" s="154" customFormat="1" ht="15">
      <c r="A83" s="487" t="s">
        <v>103</v>
      </c>
      <c r="B83" s="488"/>
      <c r="C83" s="488"/>
      <c r="D83" s="488"/>
      <c r="E83" s="488"/>
      <c r="F83" s="488"/>
      <c r="G83" s="488"/>
      <c r="H83" s="488"/>
      <c r="I83" s="488"/>
      <c r="J83" s="489"/>
      <c r="K83" s="240">
        <f>SUM(K70:K82)</f>
        <v>102465.00000000003</v>
      </c>
    </row>
    <row r="84" spans="1:11" s="11" customFormat="1">
      <c r="A84" s="107"/>
      <c r="B84" s="134"/>
      <c r="C84" s="109"/>
      <c r="D84" s="311"/>
      <c r="E84" s="311"/>
      <c r="F84" s="311"/>
      <c r="G84" s="311"/>
      <c r="H84" s="311"/>
      <c r="I84" s="109"/>
      <c r="J84" s="118"/>
      <c r="K84" s="118"/>
    </row>
    <row r="85" spans="1:11" s="11" customFormat="1" ht="26.25" customHeight="1">
      <c r="A85" s="110">
        <v>4</v>
      </c>
      <c r="B85" s="250" t="s">
        <v>155</v>
      </c>
      <c r="C85" s="112"/>
      <c r="D85" s="246"/>
      <c r="E85" s="246"/>
      <c r="F85" s="246"/>
      <c r="G85" s="246"/>
      <c r="H85" s="246"/>
      <c r="I85" s="112"/>
      <c r="J85" s="117"/>
      <c r="K85" s="118"/>
    </row>
    <row r="86" spans="1:11" s="11" customFormat="1">
      <c r="A86" s="119"/>
      <c r="B86" s="120"/>
      <c r="C86" s="112"/>
      <c r="D86" s="246"/>
      <c r="E86" s="246"/>
      <c r="F86" s="246"/>
      <c r="G86" s="246"/>
      <c r="H86" s="246"/>
      <c r="I86" s="112"/>
      <c r="J86" s="117"/>
      <c r="K86" s="118"/>
    </row>
    <row r="87" spans="1:11" s="11" customFormat="1">
      <c r="A87" s="110">
        <v>4.0999999999999996</v>
      </c>
      <c r="B87" s="111" t="s">
        <v>48</v>
      </c>
      <c r="C87" s="112"/>
      <c r="D87" s="246"/>
      <c r="E87" s="246"/>
      <c r="F87" s="246"/>
      <c r="G87" s="246"/>
      <c r="H87" s="246"/>
      <c r="I87" s="112"/>
      <c r="J87" s="117"/>
      <c r="K87" s="118"/>
    </row>
    <row r="88" spans="1:11" s="11" customFormat="1">
      <c r="A88" s="122"/>
      <c r="B88" s="123"/>
      <c r="C88" s="112"/>
      <c r="D88" s="246"/>
      <c r="E88" s="246"/>
      <c r="F88" s="246"/>
      <c r="G88" s="246"/>
      <c r="H88" s="246"/>
      <c r="I88" s="112"/>
      <c r="J88" s="117"/>
      <c r="K88" s="118"/>
    </row>
    <row r="89" spans="1:11" s="11" customFormat="1" ht="51">
      <c r="A89" s="122">
        <v>4.1100000000000003</v>
      </c>
      <c r="B89" s="129" t="s">
        <v>350</v>
      </c>
      <c r="C89" s="112" t="s">
        <v>12</v>
      </c>
      <c r="D89" s="246">
        <v>3.6</v>
      </c>
      <c r="E89" s="246">
        <v>8.4</v>
      </c>
      <c r="F89" s="246">
        <v>0.15</v>
      </c>
      <c r="G89" s="246"/>
      <c r="H89" s="314" t="s">
        <v>133</v>
      </c>
      <c r="I89" s="422">
        <f>D89*E89*F89</f>
        <v>4.5360000000000005</v>
      </c>
      <c r="J89" s="117">
        <v>13970</v>
      </c>
      <c r="K89" s="118">
        <f>I89*J89</f>
        <v>63367.920000000006</v>
      </c>
    </row>
    <row r="90" spans="1:11" s="11" customFormat="1">
      <c r="A90" s="122"/>
      <c r="B90" s="120"/>
      <c r="C90" s="112"/>
      <c r="D90" s="246"/>
      <c r="E90" s="246"/>
      <c r="F90" s="246"/>
      <c r="G90" s="246"/>
      <c r="H90" s="246"/>
      <c r="I90" s="112"/>
      <c r="J90" s="117"/>
      <c r="K90" s="118"/>
    </row>
    <row r="91" spans="1:11" s="11" customFormat="1" ht="51">
      <c r="A91" s="122">
        <v>4.12</v>
      </c>
      <c r="B91" s="129" t="s">
        <v>351</v>
      </c>
      <c r="C91" s="112" t="s">
        <v>12</v>
      </c>
      <c r="D91" s="246">
        <v>1.3</v>
      </c>
      <c r="E91" s="246">
        <f>4+1+1.2</f>
        <v>6.2</v>
      </c>
      <c r="F91" s="246">
        <v>0.15</v>
      </c>
      <c r="G91" s="246"/>
      <c r="H91" s="246" t="s">
        <v>133</v>
      </c>
      <c r="I91" s="422">
        <f>D91*E91*F91</f>
        <v>1.2090000000000001</v>
      </c>
      <c r="J91" s="117">
        <v>13970</v>
      </c>
      <c r="K91" s="118">
        <f>I91*J91</f>
        <v>16889.73</v>
      </c>
    </row>
    <row r="92" spans="1:11" s="11" customFormat="1">
      <c r="A92" s="122"/>
      <c r="B92" s="129"/>
      <c r="C92" s="112"/>
      <c r="D92" s="246"/>
      <c r="E92" s="246"/>
      <c r="F92" s="246"/>
      <c r="G92" s="246"/>
      <c r="H92" s="246"/>
      <c r="I92" s="112"/>
      <c r="J92" s="117"/>
      <c r="K92" s="118"/>
    </row>
    <row r="93" spans="1:11" s="11" customFormat="1" ht="25.5">
      <c r="A93" s="122">
        <v>4.13</v>
      </c>
      <c r="B93" s="129" t="s">
        <v>352</v>
      </c>
      <c r="C93" s="112" t="s">
        <v>12</v>
      </c>
      <c r="D93" s="246">
        <f>((0.25*0.75)+(0.25*0.6)+(0.25*0.45)+(0.25*0.3)+(0.25*0.15))*0.8</f>
        <v>0.45</v>
      </c>
      <c r="E93" s="317">
        <f>((0.25*0.45)+(0.25*0.3)+(0.25*0.15))*0.8</f>
        <v>0.18000000000000002</v>
      </c>
      <c r="F93" s="317"/>
      <c r="G93" s="317"/>
      <c r="H93" s="369"/>
      <c r="I93" s="422">
        <f>D93+E93</f>
        <v>0.63</v>
      </c>
      <c r="J93" s="117">
        <v>13970</v>
      </c>
      <c r="K93" s="118">
        <f>I93*J93</f>
        <v>8801.1</v>
      </c>
    </row>
    <row r="94" spans="1:11" s="11" customFormat="1">
      <c r="A94" s="122"/>
      <c r="B94" s="129"/>
      <c r="C94" s="112"/>
      <c r="D94" s="246"/>
      <c r="E94" s="246"/>
      <c r="F94" s="246"/>
      <c r="G94" s="246"/>
      <c r="H94" s="246"/>
      <c r="I94" s="112"/>
      <c r="J94" s="117"/>
      <c r="K94" s="118"/>
    </row>
    <row r="95" spans="1:11" s="11" customFormat="1" ht="25.5">
      <c r="A95" s="122">
        <v>4.1399999999999997</v>
      </c>
      <c r="B95" s="244" t="s">
        <v>353</v>
      </c>
      <c r="C95" s="112" t="s">
        <v>12</v>
      </c>
      <c r="D95" s="246">
        <f>(D5*4)+((E5+0.2)*2)</f>
        <v>43.400000000000006</v>
      </c>
      <c r="E95" s="246">
        <v>0.2</v>
      </c>
      <c r="F95" s="246">
        <v>0.3</v>
      </c>
      <c r="G95" s="246"/>
      <c r="H95" s="246" t="s">
        <v>135</v>
      </c>
      <c r="I95" s="422">
        <f>D95*E95*F95</f>
        <v>2.6040000000000005</v>
      </c>
      <c r="J95" s="117">
        <v>13970</v>
      </c>
      <c r="K95" s="118">
        <f>I95*J95</f>
        <v>36377.880000000005</v>
      </c>
    </row>
    <row r="96" spans="1:11" s="11" customFormat="1">
      <c r="A96" s="122"/>
      <c r="B96" s="129"/>
      <c r="C96" s="112"/>
      <c r="D96" s="246"/>
      <c r="E96" s="246"/>
      <c r="F96" s="246"/>
      <c r="G96" s="246"/>
      <c r="H96" s="246"/>
      <c r="I96" s="112"/>
      <c r="J96" s="117"/>
      <c r="K96" s="118"/>
    </row>
    <row r="97" spans="1:11" s="11" customFormat="1" ht="38.25">
      <c r="A97" s="122">
        <v>4.1500000000000004</v>
      </c>
      <c r="B97" s="252" t="s">
        <v>213</v>
      </c>
      <c r="C97" s="112" t="s">
        <v>196</v>
      </c>
      <c r="D97" s="246">
        <v>1.2</v>
      </c>
      <c r="E97" s="246">
        <v>1.4</v>
      </c>
      <c r="F97" s="246">
        <v>0.6</v>
      </c>
      <c r="G97" s="246">
        <v>0.4</v>
      </c>
      <c r="H97" s="246"/>
      <c r="I97" s="421">
        <f>((D97*E97)-(F97*G97))*0.15</f>
        <v>0.216</v>
      </c>
      <c r="J97" s="117">
        <v>13970</v>
      </c>
      <c r="K97" s="118">
        <f>J97*I97</f>
        <v>3017.52</v>
      </c>
    </row>
    <row r="98" spans="1:11" s="11" customFormat="1">
      <c r="A98" s="122"/>
      <c r="B98" s="129"/>
      <c r="C98" s="112"/>
      <c r="D98" s="246"/>
      <c r="E98" s="246"/>
      <c r="F98" s="246"/>
      <c r="G98" s="246"/>
      <c r="H98" s="246"/>
      <c r="I98" s="112"/>
      <c r="J98" s="117"/>
      <c r="K98" s="118"/>
    </row>
    <row r="99" spans="1:11" s="11" customFormat="1" ht="38.25">
      <c r="A99" s="122">
        <v>4.16</v>
      </c>
      <c r="B99" s="244" t="s">
        <v>334</v>
      </c>
      <c r="C99" s="112" t="s">
        <v>11</v>
      </c>
      <c r="D99" s="246"/>
      <c r="E99" s="246"/>
      <c r="F99" s="246"/>
      <c r="G99" s="246"/>
      <c r="H99" s="246"/>
      <c r="I99" s="248">
        <v>5</v>
      </c>
      <c r="J99" s="253">
        <f>3000</f>
        <v>3000</v>
      </c>
      <c r="K99" s="118">
        <f>I99*J99</f>
        <v>15000</v>
      </c>
    </row>
    <row r="100" spans="1:11" s="11" customFormat="1">
      <c r="A100" s="122"/>
      <c r="B100" s="244"/>
      <c r="C100" s="112"/>
      <c r="D100" s="246"/>
      <c r="E100" s="246"/>
      <c r="F100" s="246"/>
      <c r="G100" s="246"/>
      <c r="H100" s="246"/>
      <c r="I100" s="248"/>
      <c r="J100" s="253"/>
      <c r="K100" s="118"/>
    </row>
    <row r="101" spans="1:11" s="11" customFormat="1">
      <c r="A101" s="119">
        <v>4.2</v>
      </c>
      <c r="B101" s="136" t="s">
        <v>82</v>
      </c>
      <c r="C101" s="112"/>
      <c r="D101" s="246"/>
      <c r="E101" s="246"/>
      <c r="F101" s="246"/>
      <c r="G101" s="246"/>
      <c r="H101" s="246"/>
      <c r="I101" s="112"/>
      <c r="J101" s="117"/>
      <c r="K101" s="118"/>
    </row>
    <row r="102" spans="1:11" s="11" customFormat="1">
      <c r="A102" s="119"/>
      <c r="B102" s="136"/>
      <c r="C102" s="112"/>
      <c r="D102" s="246"/>
      <c r="E102" s="246"/>
      <c r="F102" s="246"/>
      <c r="G102" s="246"/>
      <c r="H102" s="246"/>
      <c r="I102" s="112"/>
      <c r="J102" s="117"/>
      <c r="K102" s="118"/>
    </row>
    <row r="103" spans="1:11" s="11" customFormat="1">
      <c r="A103" s="122">
        <v>4.21</v>
      </c>
      <c r="B103" s="249" t="s">
        <v>45</v>
      </c>
      <c r="C103" s="112" t="s">
        <v>38</v>
      </c>
      <c r="D103" s="246"/>
      <c r="E103" s="246"/>
      <c r="F103" s="246"/>
      <c r="G103" s="246"/>
      <c r="H103" s="246"/>
      <c r="I103" s="421">
        <v>678.682077990077</v>
      </c>
      <c r="J103" s="117">
        <v>150</v>
      </c>
      <c r="K103" s="118">
        <f>I103*J103</f>
        <v>101802.31169851155</v>
      </c>
    </row>
    <row r="104" spans="1:11" s="11" customFormat="1">
      <c r="A104" s="122"/>
      <c r="B104" s="129"/>
      <c r="C104" s="112"/>
      <c r="D104" s="246"/>
      <c r="E104" s="246"/>
      <c r="F104" s="246"/>
      <c r="G104" s="246"/>
      <c r="H104" s="246"/>
      <c r="I104" s="112"/>
      <c r="J104" s="117"/>
      <c r="K104" s="118"/>
    </row>
    <row r="105" spans="1:11" s="11" customFormat="1">
      <c r="A105" s="119">
        <v>4.3</v>
      </c>
      <c r="B105" s="136" t="s">
        <v>39</v>
      </c>
      <c r="C105" s="112"/>
      <c r="D105" s="252"/>
      <c r="E105" s="252"/>
      <c r="F105" s="252"/>
      <c r="G105" s="252"/>
      <c r="H105" s="252"/>
      <c r="I105" s="124"/>
      <c r="J105" s="123"/>
      <c r="K105" s="118"/>
    </row>
    <row r="106" spans="1:11" s="11" customFormat="1">
      <c r="A106" s="122"/>
      <c r="B106" s="71"/>
      <c r="C106" s="79"/>
      <c r="D106" s="246"/>
      <c r="E106" s="246"/>
      <c r="F106" s="246"/>
      <c r="G106" s="246"/>
      <c r="H106" s="246"/>
      <c r="I106" s="112"/>
      <c r="J106" s="117"/>
      <c r="K106" s="118"/>
    </row>
    <row r="107" spans="1:11" s="11" customFormat="1" ht="25.5">
      <c r="A107" s="122"/>
      <c r="B107" s="129" t="s">
        <v>40</v>
      </c>
      <c r="C107" s="130"/>
      <c r="D107" s="246"/>
      <c r="E107" s="246"/>
      <c r="F107" s="246"/>
      <c r="G107" s="246"/>
      <c r="H107" s="246"/>
      <c r="I107" s="112"/>
      <c r="J107" s="117"/>
      <c r="K107" s="118"/>
    </row>
    <row r="108" spans="1:11" s="11" customFormat="1">
      <c r="A108" s="122"/>
      <c r="B108" s="129"/>
      <c r="C108" s="130"/>
      <c r="D108" s="246"/>
      <c r="E108" s="246"/>
      <c r="F108" s="246"/>
      <c r="G108" s="246"/>
      <c r="H108" s="246"/>
      <c r="I108" s="112"/>
      <c r="J108" s="117"/>
      <c r="K108" s="118"/>
    </row>
    <row r="109" spans="1:11" s="11" customFormat="1">
      <c r="A109" s="122">
        <v>4.3099999999999996</v>
      </c>
      <c r="B109" s="129" t="s">
        <v>53</v>
      </c>
      <c r="C109" s="130"/>
      <c r="D109" s="246"/>
      <c r="E109" s="246"/>
      <c r="F109" s="246"/>
      <c r="G109" s="246"/>
      <c r="H109" s="246"/>
      <c r="I109" s="112"/>
      <c r="J109" s="117"/>
      <c r="K109" s="118"/>
    </row>
    <row r="110" spans="1:11" s="11" customFormat="1">
      <c r="A110" s="122"/>
      <c r="B110" s="129"/>
      <c r="C110" s="130"/>
      <c r="D110" s="246"/>
      <c r="E110" s="246"/>
      <c r="F110" s="246"/>
      <c r="G110" s="246"/>
      <c r="H110" s="246"/>
      <c r="I110" s="112"/>
      <c r="J110" s="117"/>
      <c r="K110" s="118"/>
    </row>
    <row r="111" spans="1:11" s="11" customFormat="1" ht="15.75">
      <c r="A111" s="358">
        <v>4.3109999999999999</v>
      </c>
      <c r="B111" s="129" t="s">
        <v>51</v>
      </c>
      <c r="C111" s="130" t="s">
        <v>37</v>
      </c>
      <c r="D111" s="246">
        <v>3</v>
      </c>
      <c r="E111" s="246">
        <v>8</v>
      </c>
      <c r="F111" s="246">
        <f>4+1+1.2</f>
        <v>6.2</v>
      </c>
      <c r="G111" s="246">
        <v>0.9</v>
      </c>
      <c r="H111" s="246" t="s">
        <v>208</v>
      </c>
      <c r="I111" s="422">
        <f>(D111*E111)+(F111*G111)+(D112*E112)</f>
        <v>30.58</v>
      </c>
      <c r="J111" s="117">
        <v>500</v>
      </c>
      <c r="K111" s="118">
        <f>I111*J111</f>
        <v>15290</v>
      </c>
    </row>
    <row r="112" spans="1:11" s="11" customFormat="1" ht="16.5" customHeight="1">
      <c r="A112" s="122"/>
      <c r="B112" s="129"/>
      <c r="C112" s="130"/>
      <c r="D112" s="246">
        <v>1</v>
      </c>
      <c r="E112" s="246">
        <v>1</v>
      </c>
      <c r="F112" s="246"/>
      <c r="G112" s="246"/>
      <c r="H112" s="246"/>
      <c r="I112" s="112"/>
      <c r="J112" s="117"/>
      <c r="K112" s="118"/>
    </row>
    <row r="113" spans="1:14" s="11" customFormat="1">
      <c r="A113" s="358">
        <v>4.3120000000000003</v>
      </c>
      <c r="B113" s="249" t="s">
        <v>52</v>
      </c>
      <c r="C113" s="130" t="s">
        <v>3</v>
      </c>
      <c r="D113" s="246">
        <f>4*0.8</f>
        <v>3.2</v>
      </c>
      <c r="E113" s="246">
        <f>2*0.8</f>
        <v>1.6</v>
      </c>
      <c r="F113" s="246"/>
      <c r="G113" s="246"/>
      <c r="H113" s="246"/>
      <c r="I113" s="112">
        <f>D113+E113</f>
        <v>4.8000000000000007</v>
      </c>
      <c r="J113" s="117">
        <v>250</v>
      </c>
      <c r="K113" s="118">
        <f>I113*J113</f>
        <v>1200.0000000000002</v>
      </c>
    </row>
    <row r="114" spans="1:14" s="11" customFormat="1">
      <c r="A114" s="122"/>
      <c r="B114" s="129"/>
      <c r="C114" s="130"/>
      <c r="D114" s="246"/>
      <c r="E114" s="246"/>
      <c r="F114" s="246"/>
      <c r="G114" s="246"/>
      <c r="H114" s="246"/>
      <c r="I114" s="112"/>
      <c r="J114" s="117"/>
      <c r="K114" s="118"/>
    </row>
    <row r="115" spans="1:14" s="11" customFormat="1">
      <c r="A115" s="122">
        <v>4.32</v>
      </c>
      <c r="B115" s="249" t="s">
        <v>54</v>
      </c>
      <c r="C115" s="79"/>
      <c r="D115" s="252"/>
      <c r="E115" s="252"/>
      <c r="F115" s="252"/>
      <c r="G115" s="252"/>
      <c r="H115" s="252"/>
      <c r="I115" s="124"/>
      <c r="J115" s="123"/>
      <c r="K115" s="118"/>
    </row>
    <row r="116" spans="1:14" s="11" customFormat="1">
      <c r="A116" s="122"/>
      <c r="B116" s="129"/>
      <c r="C116" s="79"/>
      <c r="D116" s="246"/>
      <c r="E116" s="246"/>
      <c r="F116" s="246"/>
      <c r="G116" s="246"/>
      <c r="H116" s="246"/>
      <c r="I116" s="112"/>
      <c r="J116" s="117"/>
      <c r="K116" s="118"/>
    </row>
    <row r="117" spans="1:14" s="11" customFormat="1">
      <c r="A117" s="358">
        <v>4.3209999999999997</v>
      </c>
      <c r="B117" s="249" t="s">
        <v>197</v>
      </c>
      <c r="C117" s="130" t="s">
        <v>3</v>
      </c>
      <c r="D117" s="246">
        <f xml:space="preserve"> (8.4*2)+(5.3*2)</f>
        <v>27.4</v>
      </c>
      <c r="E117" s="246">
        <f>(8*4)+(3.9*2)</f>
        <v>39.799999999999997</v>
      </c>
      <c r="F117" s="246"/>
      <c r="G117" s="246"/>
      <c r="H117" s="246" t="s">
        <v>209</v>
      </c>
      <c r="I117" s="112">
        <f>SUM(D117:E117)</f>
        <v>67.199999999999989</v>
      </c>
      <c r="J117" s="117">
        <v>250</v>
      </c>
      <c r="K117" s="118">
        <f>I117*J117</f>
        <v>16799.999999999996</v>
      </c>
    </row>
    <row r="118" spans="1:14" s="11" customFormat="1">
      <c r="A118" s="119"/>
      <c r="B118" s="129"/>
      <c r="C118" s="130"/>
      <c r="D118" s="246"/>
      <c r="E118" s="246"/>
      <c r="F118" s="246"/>
      <c r="G118" s="246"/>
      <c r="H118" s="246"/>
      <c r="I118" s="112"/>
      <c r="J118" s="117"/>
      <c r="K118" s="118"/>
    </row>
    <row r="119" spans="1:14" s="154" customFormat="1" ht="15">
      <c r="A119" s="487" t="s">
        <v>104</v>
      </c>
      <c r="B119" s="488"/>
      <c r="C119" s="488"/>
      <c r="D119" s="488"/>
      <c r="E119" s="488"/>
      <c r="F119" s="488"/>
      <c r="G119" s="488"/>
      <c r="H119" s="488"/>
      <c r="I119" s="488"/>
      <c r="J119" s="489"/>
      <c r="K119" s="349">
        <f>SUM(K84:K118)</f>
        <v>278546.46169851156</v>
      </c>
      <c r="L119" s="351"/>
    </row>
    <row r="120" spans="1:14" s="11" customFormat="1">
      <c r="A120" s="119"/>
      <c r="B120" s="123"/>
      <c r="C120" s="112"/>
      <c r="D120" s="252"/>
      <c r="E120" s="252"/>
      <c r="F120" s="252"/>
      <c r="G120" s="252"/>
      <c r="H120" s="252"/>
      <c r="I120" s="124"/>
      <c r="J120" s="123"/>
      <c r="K120" s="118"/>
    </row>
    <row r="121" spans="1:14" s="11" customFormat="1">
      <c r="A121" s="119">
        <v>5</v>
      </c>
      <c r="B121" s="136" t="s">
        <v>14</v>
      </c>
      <c r="C121" s="112"/>
      <c r="D121" s="252"/>
      <c r="E121" s="252"/>
      <c r="F121" s="252"/>
      <c r="G121" s="252"/>
      <c r="H121" s="252"/>
      <c r="I121" s="124"/>
      <c r="J121" s="123"/>
      <c r="K121" s="118"/>
    </row>
    <row r="122" spans="1:14" s="11" customFormat="1">
      <c r="A122" s="119"/>
      <c r="B122" s="123"/>
      <c r="C122" s="112"/>
      <c r="D122" s="246"/>
      <c r="E122" s="246"/>
      <c r="F122" s="246"/>
      <c r="G122" s="246"/>
      <c r="H122" s="246"/>
      <c r="I122" s="112"/>
      <c r="J122" s="117"/>
      <c r="K122" s="118"/>
    </row>
    <row r="123" spans="1:14" s="11" customFormat="1">
      <c r="A123" s="119">
        <v>5.0999999999999996</v>
      </c>
      <c r="B123" s="136" t="s">
        <v>85</v>
      </c>
      <c r="C123" s="112"/>
      <c r="D123" s="246"/>
      <c r="E123" s="246"/>
      <c r="F123" s="246"/>
      <c r="G123" s="246"/>
      <c r="H123" s="246"/>
      <c r="I123" s="112"/>
      <c r="J123" s="117"/>
      <c r="K123" s="118"/>
    </row>
    <row r="124" spans="1:14" s="11" customFormat="1">
      <c r="A124" s="119"/>
      <c r="B124" s="123"/>
      <c r="C124" s="112"/>
      <c r="D124" s="246"/>
      <c r="E124" s="246"/>
      <c r="F124" s="246"/>
      <c r="G124" s="246"/>
      <c r="H124" s="246"/>
      <c r="I124" s="112"/>
      <c r="J124" s="117"/>
      <c r="K124" s="118"/>
    </row>
    <row r="125" spans="1:14" s="11" customFormat="1" ht="38.25">
      <c r="A125" s="119"/>
      <c r="B125" s="123" t="s">
        <v>210</v>
      </c>
      <c r="C125" s="112"/>
      <c r="D125" s="246"/>
      <c r="E125" s="246"/>
      <c r="F125" s="246"/>
      <c r="G125" s="246"/>
      <c r="H125" s="246"/>
      <c r="I125" s="112"/>
      <c r="J125" s="117"/>
      <c r="K125" s="118"/>
    </row>
    <row r="126" spans="1:14" s="11" customFormat="1">
      <c r="A126" s="119"/>
      <c r="B126" s="252"/>
      <c r="C126" s="112"/>
      <c r="D126" s="246"/>
      <c r="E126" s="246"/>
      <c r="F126" s="246"/>
      <c r="G126" s="246"/>
      <c r="H126" s="246"/>
      <c r="I126" s="112"/>
      <c r="J126" s="117"/>
      <c r="K126" s="118"/>
    </row>
    <row r="127" spans="1:14" s="367" customFormat="1" ht="38.25">
      <c r="A127" s="364">
        <v>5.1100000000000003</v>
      </c>
      <c r="B127" s="244" t="s">
        <v>357</v>
      </c>
      <c r="C127" s="248" t="s">
        <v>3</v>
      </c>
      <c r="D127" s="310">
        <v>0.6</v>
      </c>
      <c r="E127" s="244"/>
      <c r="F127" s="244"/>
      <c r="G127" s="244"/>
      <c r="H127" s="273"/>
      <c r="I127" s="251">
        <v>0.6</v>
      </c>
      <c r="J127" s="253">
        <v>1000</v>
      </c>
      <c r="K127" s="118">
        <f>I127*J127</f>
        <v>600</v>
      </c>
      <c r="L127" s="368"/>
      <c r="M127" s="368"/>
      <c r="N127" s="368"/>
    </row>
    <row r="128" spans="1:14" s="367" customFormat="1">
      <c r="A128" s="364"/>
      <c r="B128" s="244"/>
      <c r="C128" s="248"/>
      <c r="D128" s="310"/>
      <c r="E128" s="244"/>
      <c r="F128" s="244"/>
      <c r="G128" s="244"/>
      <c r="H128" s="273"/>
      <c r="I128" s="251"/>
      <c r="J128" s="253"/>
      <c r="K128" s="118"/>
      <c r="L128" s="368"/>
      <c r="M128" s="368"/>
      <c r="N128" s="368"/>
    </row>
    <row r="129" spans="1:14" s="367" customFormat="1" ht="38.25">
      <c r="A129" s="364">
        <v>5.12</v>
      </c>
      <c r="B129" s="244" t="s">
        <v>223</v>
      </c>
      <c r="C129" s="248" t="s">
        <v>11</v>
      </c>
      <c r="D129" s="310"/>
      <c r="E129" s="244"/>
      <c r="F129" s="244"/>
      <c r="G129" s="244"/>
      <c r="H129" s="273"/>
      <c r="I129" s="251">
        <v>1</v>
      </c>
      <c r="J129" s="253">
        <v>3000</v>
      </c>
      <c r="K129" s="118">
        <f>I129*J129</f>
        <v>3000</v>
      </c>
      <c r="L129" s="368"/>
      <c r="M129" s="368"/>
      <c r="N129" s="368"/>
    </row>
    <row r="130" spans="1:14" s="367" customFormat="1">
      <c r="A130" s="364"/>
      <c r="B130" s="244"/>
      <c r="C130" s="248"/>
      <c r="D130" s="310"/>
      <c r="E130" s="244"/>
      <c r="F130" s="244"/>
      <c r="G130" s="244"/>
      <c r="H130" s="273"/>
      <c r="I130" s="251"/>
      <c r="J130" s="253"/>
      <c r="K130" s="118"/>
      <c r="L130" s="368"/>
      <c r="M130" s="368"/>
      <c r="N130" s="368"/>
    </row>
    <row r="131" spans="1:14" s="367" customFormat="1" ht="25.5">
      <c r="A131" s="364">
        <v>5.13</v>
      </c>
      <c r="B131" s="244" t="s">
        <v>358</v>
      </c>
      <c r="C131" s="248" t="s">
        <v>3</v>
      </c>
      <c r="D131" s="310">
        <v>0.4</v>
      </c>
      <c r="E131" s="244">
        <v>1</v>
      </c>
      <c r="F131" s="244"/>
      <c r="G131" s="244"/>
      <c r="H131" s="273"/>
      <c r="I131" s="251">
        <v>0.4</v>
      </c>
      <c r="J131" s="253">
        <v>150</v>
      </c>
      <c r="K131" s="118">
        <f>I131*J131</f>
        <v>60</v>
      </c>
      <c r="L131" s="368"/>
      <c r="M131" s="368"/>
      <c r="N131" s="368"/>
    </row>
    <row r="132" spans="1:14" s="11" customFormat="1">
      <c r="A132" s="119"/>
      <c r="B132" s="123"/>
      <c r="C132" s="112"/>
      <c r="D132" s="252"/>
      <c r="E132" s="252"/>
      <c r="F132" s="252"/>
      <c r="G132" s="252"/>
      <c r="H132" s="252"/>
      <c r="I132" s="124"/>
      <c r="J132" s="123"/>
      <c r="K132" s="118"/>
    </row>
    <row r="133" spans="1:14" s="11" customFormat="1">
      <c r="A133" s="119">
        <v>5.2</v>
      </c>
      <c r="B133" s="137" t="s">
        <v>86</v>
      </c>
      <c r="C133" s="112"/>
      <c r="D133" s="246"/>
      <c r="E133" s="246"/>
      <c r="F133" s="246"/>
      <c r="G133" s="246"/>
      <c r="H133" s="246"/>
      <c r="I133" s="112"/>
      <c r="J133" s="117"/>
      <c r="K133" s="118"/>
    </row>
    <row r="134" spans="1:14" s="11" customFormat="1">
      <c r="A134" s="119"/>
      <c r="B134" s="123"/>
      <c r="C134" s="112"/>
      <c r="D134" s="246"/>
      <c r="E134" s="246"/>
      <c r="F134" s="246"/>
      <c r="G134" s="246"/>
      <c r="H134" s="246"/>
      <c r="I134" s="112"/>
      <c r="J134" s="117"/>
      <c r="K134" s="118"/>
    </row>
    <row r="135" spans="1:14" s="11" customFormat="1" ht="38.25">
      <c r="A135" s="122">
        <v>5.21</v>
      </c>
      <c r="B135" s="123" t="s">
        <v>427</v>
      </c>
      <c r="C135" s="112" t="s">
        <v>11</v>
      </c>
      <c r="D135" s="246"/>
      <c r="E135" s="246"/>
      <c r="F135" s="246"/>
      <c r="G135" s="246"/>
      <c r="H135" s="246"/>
      <c r="I135" s="112">
        <v>2</v>
      </c>
      <c r="J135" s="117">
        <v>300</v>
      </c>
      <c r="K135" s="118">
        <f>I135*J135</f>
        <v>600</v>
      </c>
    </row>
    <row r="136" spans="1:14" s="11" customFormat="1">
      <c r="A136" s="119"/>
      <c r="B136" s="123"/>
      <c r="C136" s="112"/>
      <c r="D136" s="246"/>
      <c r="E136" s="246"/>
      <c r="F136" s="246"/>
      <c r="G136" s="246"/>
      <c r="H136" s="246"/>
      <c r="I136" s="112"/>
      <c r="J136" s="117"/>
      <c r="K136" s="118"/>
    </row>
    <row r="137" spans="1:14" s="11" customFormat="1" ht="25.5">
      <c r="A137" s="122">
        <v>5.22</v>
      </c>
      <c r="B137" s="244" t="s">
        <v>212</v>
      </c>
      <c r="C137" s="112" t="s">
        <v>11</v>
      </c>
      <c r="D137" s="252"/>
      <c r="E137" s="252"/>
      <c r="F137" s="252"/>
      <c r="G137" s="252"/>
      <c r="H137" s="252"/>
      <c r="I137" s="124">
        <v>1</v>
      </c>
      <c r="J137" s="253">
        <v>25000</v>
      </c>
      <c r="K137" s="118">
        <f>I137*J137</f>
        <v>25000</v>
      </c>
      <c r="L137" s="347"/>
    </row>
    <row r="138" spans="1:14" s="11" customFormat="1">
      <c r="A138" s="122"/>
      <c r="B138" s="244"/>
      <c r="C138" s="112"/>
      <c r="D138" s="252"/>
      <c r="E138" s="252"/>
      <c r="F138" s="252"/>
      <c r="G138" s="252"/>
      <c r="H138" s="252"/>
      <c r="I138" s="124"/>
      <c r="J138" s="272"/>
      <c r="K138" s="118"/>
    </row>
    <row r="139" spans="1:14" s="11" customFormat="1">
      <c r="A139" s="119">
        <v>5.3</v>
      </c>
      <c r="B139" s="136" t="s">
        <v>87</v>
      </c>
      <c r="C139" s="112"/>
      <c r="D139" s="252"/>
      <c r="E139" s="252"/>
      <c r="F139" s="252"/>
      <c r="G139" s="252"/>
      <c r="H139" s="252"/>
      <c r="I139" s="124"/>
      <c r="J139" s="117"/>
      <c r="K139" s="118"/>
    </row>
    <row r="140" spans="1:14" s="11" customFormat="1">
      <c r="A140" s="122"/>
      <c r="B140" s="138"/>
      <c r="C140" s="112"/>
      <c r="D140" s="252"/>
      <c r="E140" s="252"/>
      <c r="F140" s="252"/>
      <c r="G140" s="252"/>
      <c r="H140" s="252"/>
      <c r="I140" s="124"/>
      <c r="J140" s="117"/>
      <c r="K140" s="118"/>
    </row>
    <row r="141" spans="1:14" s="11" customFormat="1" ht="63.75">
      <c r="A141" s="122"/>
      <c r="B141" s="73" t="s">
        <v>211</v>
      </c>
      <c r="C141" s="112"/>
      <c r="D141" s="252"/>
      <c r="E141" s="252"/>
      <c r="F141" s="252"/>
      <c r="G141" s="252"/>
      <c r="H141" s="252"/>
      <c r="I141" s="124"/>
      <c r="J141" s="117"/>
      <c r="K141" s="118"/>
    </row>
    <row r="142" spans="1:14" s="11" customFormat="1">
      <c r="A142" s="122"/>
      <c r="B142" s="123"/>
      <c r="C142" s="112"/>
      <c r="D142" s="252"/>
      <c r="E142" s="252"/>
      <c r="F142" s="252"/>
      <c r="G142" s="252"/>
      <c r="H142" s="252"/>
      <c r="I142" s="124"/>
      <c r="J142" s="117"/>
      <c r="K142" s="118"/>
    </row>
    <row r="143" spans="1:14" s="11" customFormat="1">
      <c r="A143" s="122"/>
      <c r="B143" s="73" t="s">
        <v>152</v>
      </c>
      <c r="C143" s="112"/>
      <c r="D143" s="252"/>
      <c r="E143" s="252"/>
      <c r="F143" s="252"/>
      <c r="G143" s="252"/>
      <c r="H143" s="252"/>
      <c r="I143" s="124"/>
      <c r="J143" s="117"/>
      <c r="K143" s="118"/>
    </row>
    <row r="144" spans="1:14" s="11" customFormat="1">
      <c r="A144" s="122"/>
      <c r="B144" s="138"/>
      <c r="C144" s="112"/>
      <c r="D144" s="252"/>
      <c r="E144" s="252"/>
      <c r="F144" s="252"/>
      <c r="G144" s="252"/>
      <c r="H144" s="252"/>
      <c r="I144" s="124"/>
      <c r="J144" s="117"/>
      <c r="K144" s="118"/>
    </row>
    <row r="145" spans="1:11" s="11" customFormat="1" ht="25.5">
      <c r="A145" s="399">
        <v>5.31</v>
      </c>
      <c r="B145" s="409" t="s">
        <v>382</v>
      </c>
      <c r="C145" s="410" t="s">
        <v>3</v>
      </c>
      <c r="D145" s="400"/>
      <c r="E145" s="400"/>
      <c r="F145" s="400"/>
      <c r="G145" s="400"/>
      <c r="H145" s="400"/>
      <c r="I145" s="401">
        <v>25</v>
      </c>
      <c r="J145" s="411">
        <v>500</v>
      </c>
      <c r="K145" s="404">
        <f>I145*J145</f>
        <v>12500</v>
      </c>
    </row>
    <row r="146" spans="1:11" s="11" customFormat="1">
      <c r="A146" s="119"/>
      <c r="B146" s="129"/>
      <c r="C146" s="79"/>
      <c r="D146" s="246"/>
      <c r="E146" s="246"/>
      <c r="F146" s="246"/>
      <c r="G146" s="246"/>
      <c r="H146" s="246"/>
      <c r="I146" s="112"/>
      <c r="J146" s="117"/>
      <c r="K146" s="118"/>
    </row>
    <row r="147" spans="1:11" s="154" customFormat="1" ht="15">
      <c r="A147" s="487" t="s">
        <v>105</v>
      </c>
      <c r="B147" s="488"/>
      <c r="C147" s="488"/>
      <c r="D147" s="488"/>
      <c r="E147" s="488"/>
      <c r="F147" s="488"/>
      <c r="G147" s="488"/>
      <c r="H147" s="488"/>
      <c r="I147" s="488"/>
      <c r="J147" s="489"/>
      <c r="K147" s="240">
        <f>SUM(K120:K146)</f>
        <v>41760</v>
      </c>
    </row>
    <row r="148" spans="1:11" s="11" customFormat="1">
      <c r="A148" s="119"/>
      <c r="B148" s="120"/>
      <c r="C148" s="112"/>
      <c r="D148" s="246"/>
      <c r="E148" s="246"/>
      <c r="F148" s="246"/>
      <c r="G148" s="246"/>
      <c r="H148" s="246"/>
      <c r="I148" s="112"/>
      <c r="J148" s="117"/>
      <c r="K148" s="118"/>
    </row>
    <row r="149" spans="1:11" s="11" customFormat="1">
      <c r="A149" s="119">
        <v>6</v>
      </c>
      <c r="B149" s="136" t="s">
        <v>110</v>
      </c>
      <c r="C149" s="112"/>
      <c r="D149" s="246"/>
      <c r="E149" s="246"/>
      <c r="F149" s="246"/>
      <c r="G149" s="246"/>
      <c r="H149" s="246"/>
      <c r="I149" s="112"/>
      <c r="J149" s="117"/>
      <c r="K149" s="118"/>
    </row>
    <row r="150" spans="1:11" s="11" customFormat="1">
      <c r="A150" s="119"/>
      <c r="B150" s="123"/>
      <c r="C150" s="112"/>
      <c r="D150" s="246"/>
      <c r="E150" s="246"/>
      <c r="F150" s="246"/>
      <c r="G150" s="246"/>
      <c r="H150" s="246"/>
      <c r="I150" s="112"/>
      <c r="J150" s="117"/>
      <c r="K150" s="118"/>
    </row>
    <row r="151" spans="1:11" s="11" customFormat="1" ht="51">
      <c r="A151" s="122">
        <v>6.1</v>
      </c>
      <c r="B151" s="328" t="s">
        <v>239</v>
      </c>
      <c r="C151" s="248" t="s">
        <v>11</v>
      </c>
      <c r="D151" s="246"/>
      <c r="E151" s="246"/>
      <c r="F151" s="246"/>
      <c r="G151" s="246"/>
      <c r="H151" s="246"/>
      <c r="I151" s="248">
        <v>1</v>
      </c>
      <c r="J151" s="117">
        <v>20000</v>
      </c>
      <c r="K151" s="118">
        <f>I151*J151</f>
        <v>20000</v>
      </c>
    </row>
    <row r="152" spans="1:11" s="11" customFormat="1">
      <c r="A152" s="119"/>
      <c r="B152" s="113"/>
      <c r="C152" s="112"/>
      <c r="D152" s="246"/>
      <c r="E152" s="246"/>
      <c r="F152" s="246"/>
      <c r="G152" s="246"/>
      <c r="H152" s="246"/>
      <c r="I152" s="112"/>
      <c r="J152" s="117"/>
      <c r="K152" s="118"/>
    </row>
    <row r="153" spans="1:11" s="11" customFormat="1" ht="51">
      <c r="A153" s="122">
        <v>6.2</v>
      </c>
      <c r="B153" s="244" t="s">
        <v>240</v>
      </c>
      <c r="C153" s="112" t="s">
        <v>11</v>
      </c>
      <c r="D153" s="329"/>
      <c r="E153" s="310"/>
      <c r="F153" s="252"/>
      <c r="G153" s="252"/>
      <c r="H153" s="252"/>
      <c r="I153" s="251">
        <v>1</v>
      </c>
      <c r="J153" s="117">
        <v>20000</v>
      </c>
      <c r="K153" s="118">
        <f>I153*J153</f>
        <v>20000</v>
      </c>
    </row>
    <row r="154" spans="1:11" s="11" customFormat="1">
      <c r="A154" s="168"/>
      <c r="B154" s="371"/>
      <c r="C154" s="141"/>
      <c r="D154" s="372"/>
      <c r="E154" s="373"/>
      <c r="F154" s="315"/>
      <c r="G154" s="315"/>
      <c r="H154" s="315"/>
      <c r="I154" s="374"/>
      <c r="J154" s="143"/>
      <c r="K154" s="144"/>
    </row>
    <row r="155" spans="1:11" s="11" customFormat="1" ht="45.75" customHeight="1">
      <c r="A155" s="168">
        <v>6.3</v>
      </c>
      <c r="B155" s="371" t="s">
        <v>241</v>
      </c>
      <c r="C155" s="141" t="s">
        <v>11</v>
      </c>
      <c r="D155" s="372"/>
      <c r="E155" s="373"/>
      <c r="F155" s="315"/>
      <c r="G155" s="315"/>
      <c r="H155" s="315"/>
      <c r="I155" s="374">
        <v>2</v>
      </c>
      <c r="J155" s="143">
        <v>4000</v>
      </c>
      <c r="K155" s="118">
        <f>I155*J155</f>
        <v>8000</v>
      </c>
    </row>
    <row r="156" spans="1:11" s="11" customFormat="1" ht="15.75" customHeight="1">
      <c r="A156" s="168"/>
      <c r="B156" s="371"/>
      <c r="C156" s="141"/>
      <c r="D156" s="372"/>
      <c r="E156" s="373"/>
      <c r="F156" s="315"/>
      <c r="G156" s="315"/>
      <c r="H156" s="315"/>
      <c r="I156" s="374"/>
      <c r="J156" s="143"/>
      <c r="K156" s="144"/>
    </row>
    <row r="157" spans="1:11" s="154" customFormat="1" ht="15">
      <c r="A157" s="487" t="s">
        <v>106</v>
      </c>
      <c r="B157" s="488"/>
      <c r="C157" s="488"/>
      <c r="D157" s="488"/>
      <c r="E157" s="488"/>
      <c r="F157" s="488"/>
      <c r="G157" s="488"/>
      <c r="H157" s="488"/>
      <c r="I157" s="488"/>
      <c r="J157" s="489"/>
      <c r="K157" s="240">
        <f>SUM(K148:K156)</f>
        <v>48000</v>
      </c>
    </row>
    <row r="158" spans="1:11" s="11" customFormat="1">
      <c r="A158" s="119"/>
      <c r="B158" s="120"/>
      <c r="C158" s="112"/>
      <c r="D158" s="246"/>
      <c r="E158" s="246"/>
      <c r="F158" s="246"/>
      <c r="G158" s="246"/>
      <c r="H158" s="246"/>
      <c r="I158" s="112"/>
      <c r="J158" s="117"/>
      <c r="K158" s="118"/>
    </row>
    <row r="159" spans="1:11" s="11" customFormat="1">
      <c r="A159" s="119">
        <v>7</v>
      </c>
      <c r="B159" s="136" t="s">
        <v>156</v>
      </c>
      <c r="C159" s="112"/>
      <c r="D159" s="246"/>
      <c r="E159" s="246"/>
      <c r="F159" s="246"/>
      <c r="G159" s="246"/>
      <c r="H159" s="246"/>
      <c r="I159" s="112"/>
      <c r="J159" s="117"/>
      <c r="K159" s="118"/>
    </row>
    <row r="160" spans="1:11" s="11" customFormat="1">
      <c r="A160" s="119"/>
      <c r="B160" s="123"/>
      <c r="C160" s="112"/>
      <c r="D160" s="246"/>
      <c r="E160" s="246"/>
      <c r="F160" s="246"/>
      <c r="G160" s="246"/>
      <c r="H160" s="246"/>
      <c r="I160" s="112"/>
      <c r="J160" s="117"/>
      <c r="K160" s="118"/>
    </row>
    <row r="161" spans="1:11" s="11" customFormat="1" ht="25.5">
      <c r="A161" s="122">
        <v>7.1</v>
      </c>
      <c r="B161" s="328" t="s">
        <v>425</v>
      </c>
      <c r="C161" s="248" t="s">
        <v>11</v>
      </c>
      <c r="D161" s="246"/>
      <c r="E161" s="246"/>
      <c r="F161" s="246"/>
      <c r="G161" s="246"/>
      <c r="H161" s="246"/>
      <c r="I161" s="248">
        <v>3</v>
      </c>
      <c r="J161" s="117">
        <v>700</v>
      </c>
      <c r="K161" s="118">
        <f>I161*J161</f>
        <v>2100</v>
      </c>
    </row>
    <row r="162" spans="1:11" s="11" customFormat="1">
      <c r="A162" s="119"/>
      <c r="B162" s="113"/>
      <c r="C162" s="112"/>
      <c r="D162" s="246"/>
      <c r="E162" s="246"/>
      <c r="F162" s="246"/>
      <c r="G162" s="246"/>
      <c r="H162" s="246"/>
      <c r="I162" s="112"/>
      <c r="J162" s="117"/>
      <c r="K162" s="118"/>
    </row>
    <row r="163" spans="1:11" s="154" customFormat="1" ht="15">
      <c r="A163" s="487" t="s">
        <v>143</v>
      </c>
      <c r="B163" s="488"/>
      <c r="C163" s="488"/>
      <c r="D163" s="488"/>
      <c r="E163" s="488"/>
      <c r="F163" s="488"/>
      <c r="G163" s="488"/>
      <c r="H163" s="488"/>
      <c r="I163" s="488"/>
      <c r="J163" s="489"/>
      <c r="K163" s="398">
        <f>SUM(K158:K162)</f>
        <v>2100</v>
      </c>
    </row>
    <row r="164" spans="1:11" s="11" customFormat="1" ht="15" customHeight="1">
      <c r="A164" s="498"/>
      <c r="B164" s="499"/>
      <c r="C164" s="499"/>
      <c r="D164" s="499"/>
      <c r="E164" s="499"/>
      <c r="F164" s="499"/>
      <c r="G164" s="499"/>
      <c r="H164" s="499"/>
      <c r="I164" s="499"/>
      <c r="J164" s="499"/>
      <c r="K164" s="500"/>
    </row>
    <row r="165" spans="1:11" s="11" customFormat="1">
      <c r="A165" s="497" t="s">
        <v>108</v>
      </c>
      <c r="B165" s="497"/>
      <c r="C165" s="497"/>
      <c r="D165" s="497"/>
      <c r="E165" s="497"/>
      <c r="F165" s="497"/>
      <c r="G165" s="497"/>
      <c r="H165" s="497"/>
      <c r="I165" s="497"/>
      <c r="J165" s="497"/>
      <c r="K165" s="106">
        <f>K33+K69+K83+K119+K147+K157+K163</f>
        <v>786975.19769851165</v>
      </c>
    </row>
    <row r="166" spans="1:11" s="11" customFormat="1">
      <c r="A166" s="497" t="s">
        <v>107</v>
      </c>
      <c r="B166" s="497" t="s">
        <v>7</v>
      </c>
      <c r="C166" s="497"/>
      <c r="D166" s="497"/>
      <c r="E166" s="497"/>
      <c r="F166" s="497"/>
      <c r="G166" s="497"/>
      <c r="H166" s="497"/>
      <c r="I166" s="497"/>
      <c r="J166" s="497"/>
      <c r="K166" s="106">
        <f>0.05*K165</f>
        <v>39348.759884925588</v>
      </c>
    </row>
    <row r="167" spans="1:11" s="11" customFormat="1">
      <c r="A167" s="497" t="s">
        <v>108</v>
      </c>
      <c r="B167" s="497"/>
      <c r="C167" s="497"/>
      <c r="D167" s="497"/>
      <c r="E167" s="497"/>
      <c r="F167" s="497"/>
      <c r="G167" s="497"/>
      <c r="H167" s="497"/>
      <c r="I167" s="497"/>
      <c r="J167" s="497"/>
      <c r="K167" s="106">
        <f>SUM(K165:K166)</f>
        <v>826323.95758343721</v>
      </c>
    </row>
    <row r="168" spans="1:11" s="11" customFormat="1" ht="39.75" customHeight="1">
      <c r="A168" s="496" t="s">
        <v>222</v>
      </c>
      <c r="B168" s="496"/>
      <c r="C168" s="496"/>
      <c r="D168" s="496"/>
      <c r="E168" s="496"/>
      <c r="F168" s="496"/>
      <c r="G168" s="496"/>
      <c r="H168" s="496"/>
      <c r="I168" s="496"/>
      <c r="J168" s="496"/>
      <c r="K168" s="496"/>
    </row>
    <row r="170" spans="1:11">
      <c r="B170" s="74"/>
    </row>
  </sheetData>
  <mergeCells count="15">
    <mergeCell ref="A1:I1"/>
    <mergeCell ref="A69:J69"/>
    <mergeCell ref="D3:H3"/>
    <mergeCell ref="A2:K2"/>
    <mergeCell ref="A168:K168"/>
    <mergeCell ref="A165:J165"/>
    <mergeCell ref="A166:J166"/>
    <mergeCell ref="A167:J167"/>
    <mergeCell ref="A33:J33"/>
    <mergeCell ref="A83:J83"/>
    <mergeCell ref="A147:J147"/>
    <mergeCell ref="A157:J157"/>
    <mergeCell ref="A119:J119"/>
    <mergeCell ref="A164:K164"/>
    <mergeCell ref="A163:J163"/>
  </mergeCells>
  <pageMargins left="0.7" right="0.7" top="0.75" bottom="0.75" header="0.3" footer="0.3"/>
  <pageSetup scale="75" orientation="portrait" r:id="rId1"/>
  <rowBreaks count="1" manualBreakCount="1">
    <brk id="69" max="10"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33"/>
  <sheetViews>
    <sheetView zoomScale="80" zoomScaleNormal="80" workbookViewId="0">
      <selection activeCell="L32" sqref="L32"/>
    </sheetView>
  </sheetViews>
  <sheetFormatPr defaultColWidth="9.140625" defaultRowHeight="15"/>
  <cols>
    <col min="1" max="1" width="12.7109375" customWidth="1"/>
    <col min="2" max="2" width="57.7109375" customWidth="1"/>
    <col min="3" max="3" width="21.7109375" style="31" customWidth="1"/>
    <col min="4" max="4" width="4.140625" customWidth="1"/>
    <col min="5" max="5" width="12.7109375" hidden="1" customWidth="1"/>
    <col min="6" max="6" width="57.7109375" hidden="1" customWidth="1"/>
    <col min="7" max="7" width="22.7109375" style="30" hidden="1" customWidth="1"/>
    <col min="8" max="9" width="9.140625" style="1"/>
  </cols>
  <sheetData>
    <row r="1" spans="1:12" ht="50.1" customHeight="1" thickBot="1">
      <c r="A1" s="522" t="s">
        <v>99</v>
      </c>
      <c r="B1" s="523"/>
      <c r="C1" s="225"/>
      <c r="E1" t="s">
        <v>71</v>
      </c>
      <c r="H1" s="22"/>
      <c r="I1" s="22"/>
      <c r="J1" s="22"/>
      <c r="K1" s="22"/>
      <c r="L1" s="22"/>
    </row>
    <row r="2" spans="1:12" ht="16.5" customHeight="1">
      <c r="A2" s="528" t="s">
        <v>15</v>
      </c>
      <c r="B2" s="530" t="s">
        <v>16</v>
      </c>
      <c r="C2" s="524" t="s">
        <v>101</v>
      </c>
      <c r="E2" s="516" t="s">
        <v>15</v>
      </c>
      <c r="F2" s="518" t="s">
        <v>16</v>
      </c>
      <c r="G2" s="93" t="s">
        <v>29</v>
      </c>
      <c r="H2" s="22"/>
      <c r="I2" s="22"/>
      <c r="J2" s="22"/>
      <c r="K2" s="22"/>
      <c r="L2" s="22"/>
    </row>
    <row r="3" spans="1:12" ht="16.5" customHeight="1" thickBot="1">
      <c r="A3" s="529"/>
      <c r="B3" s="531"/>
      <c r="C3" s="525"/>
      <c r="E3" s="517"/>
      <c r="F3" s="519"/>
      <c r="G3" s="94" t="s">
        <v>17</v>
      </c>
      <c r="H3" s="22"/>
      <c r="I3" s="22"/>
      <c r="J3" s="22"/>
      <c r="K3" s="22"/>
      <c r="L3" s="22"/>
    </row>
    <row r="4" spans="1:12" ht="15.75">
      <c r="A4" s="216"/>
      <c r="B4" s="226"/>
      <c r="C4" s="217"/>
      <c r="E4" s="34"/>
      <c r="F4" s="35"/>
      <c r="G4" s="95"/>
      <c r="H4" s="22"/>
      <c r="I4" s="22"/>
      <c r="J4" s="22"/>
      <c r="K4" s="22"/>
      <c r="L4" s="22"/>
    </row>
    <row r="5" spans="1:12" ht="15.75">
      <c r="A5" s="218" t="s">
        <v>18</v>
      </c>
      <c r="B5" s="17" t="s">
        <v>309</v>
      </c>
      <c r="C5" s="219">
        <f>'Bill 1 RBBT'!K167</f>
        <v>826323.95758343721</v>
      </c>
      <c r="E5" s="33" t="s">
        <v>18</v>
      </c>
      <c r="F5" s="17" t="s">
        <v>68</v>
      </c>
      <c r="G5" s="96">
        <v>2264839.6356279999</v>
      </c>
      <c r="H5" s="22"/>
      <c r="I5" s="22"/>
      <c r="J5" s="22"/>
      <c r="K5" s="22"/>
      <c r="L5" s="22"/>
    </row>
    <row r="6" spans="1:12" ht="15.75">
      <c r="A6" s="220"/>
      <c r="B6" s="37"/>
      <c r="C6" s="219"/>
      <c r="E6" s="36"/>
      <c r="F6" s="37"/>
      <c r="G6" s="97"/>
      <c r="H6" s="22"/>
      <c r="I6" s="22"/>
      <c r="J6" s="22"/>
      <c r="K6" s="22"/>
      <c r="L6" s="22"/>
    </row>
    <row r="7" spans="1:12" ht="15.75" customHeight="1">
      <c r="A7" s="218" t="s">
        <v>21</v>
      </c>
      <c r="B7" s="17" t="s">
        <v>308</v>
      </c>
      <c r="C7" s="219">
        <f>'Bill 2 ST'!K142</f>
        <v>972332.87581160793</v>
      </c>
      <c r="E7" s="33" t="s">
        <v>21</v>
      </c>
      <c r="F7" s="17" t="s">
        <v>69</v>
      </c>
      <c r="G7" s="96">
        <v>1585805.9525000001</v>
      </c>
      <c r="H7" s="22"/>
      <c r="I7" s="22"/>
      <c r="J7" s="22"/>
      <c r="K7" s="22"/>
      <c r="L7" s="22"/>
    </row>
    <row r="8" spans="1:12" s="1" customFormat="1" ht="15.75" customHeight="1">
      <c r="A8" s="218"/>
      <c r="B8" s="17"/>
      <c r="C8" s="219"/>
      <c r="E8" s="36"/>
      <c r="F8" s="37"/>
      <c r="G8" s="97"/>
      <c r="H8" s="22"/>
      <c r="I8" s="22"/>
      <c r="J8" s="22"/>
      <c r="K8" s="22"/>
      <c r="L8" s="22"/>
    </row>
    <row r="9" spans="1:12" s="101" customFormat="1" ht="15.75">
      <c r="A9" s="221" t="s">
        <v>23</v>
      </c>
      <c r="B9" s="17" t="s">
        <v>65</v>
      </c>
      <c r="C9" s="222">
        <f>'Bill 3 ABR'!K157</f>
        <v>928203.16051548778</v>
      </c>
      <c r="E9" s="102" t="s">
        <v>23</v>
      </c>
      <c r="F9" s="17" t="s">
        <v>22</v>
      </c>
      <c r="G9" s="103">
        <v>1580816.6597200003</v>
      </c>
      <c r="H9" s="104"/>
      <c r="I9" s="104"/>
      <c r="J9" s="104"/>
      <c r="K9" s="104"/>
      <c r="L9" s="104"/>
    </row>
    <row r="10" spans="1:12" ht="15.75">
      <c r="A10" s="220"/>
      <c r="B10" s="37"/>
      <c r="C10" s="219"/>
      <c r="E10" s="36"/>
      <c r="F10" s="37"/>
      <c r="G10" s="97"/>
      <c r="H10" s="22"/>
      <c r="I10" s="22"/>
      <c r="J10" s="22"/>
      <c r="K10" s="22"/>
      <c r="L10" s="22"/>
    </row>
    <row r="11" spans="1:12" ht="15.75" customHeight="1">
      <c r="A11" s="218" t="s">
        <v>19</v>
      </c>
      <c r="B11" s="17" t="s">
        <v>22</v>
      </c>
      <c r="C11" s="219">
        <f>'Bill 4 VFCW '!K157</f>
        <v>1467494.406</v>
      </c>
      <c r="E11" s="33" t="s">
        <v>19</v>
      </c>
      <c r="F11" s="17" t="s">
        <v>24</v>
      </c>
      <c r="G11" s="96">
        <v>784175.41887499997</v>
      </c>
      <c r="H11" s="22"/>
      <c r="I11" s="22"/>
      <c r="J11" s="22"/>
      <c r="K11" s="22"/>
      <c r="L11" s="22"/>
    </row>
    <row r="12" spans="1:12" ht="15.75">
      <c r="A12" s="220"/>
      <c r="B12" s="17"/>
      <c r="C12" s="219"/>
      <c r="E12" s="36"/>
      <c r="F12" s="17"/>
      <c r="G12" s="96"/>
      <c r="H12" s="22"/>
      <c r="I12" s="22"/>
      <c r="J12" s="22"/>
      <c r="K12" s="22"/>
      <c r="L12" s="22"/>
    </row>
    <row r="13" spans="1:12" ht="15.75" customHeight="1">
      <c r="A13" s="218" t="s">
        <v>20</v>
      </c>
      <c r="B13" s="17" t="s">
        <v>310</v>
      </c>
      <c r="C13" s="219">
        <f>'Bill 5 SDB'!K113</f>
        <v>1169804.3700000001</v>
      </c>
      <c r="E13" s="33" t="s">
        <v>20</v>
      </c>
      <c r="F13" s="17" t="s">
        <v>70</v>
      </c>
      <c r="G13" s="96">
        <v>1119217.2</v>
      </c>
      <c r="H13" s="22"/>
      <c r="I13" s="22"/>
      <c r="J13" s="22"/>
      <c r="K13" s="22"/>
      <c r="L13" s="22"/>
    </row>
    <row r="14" spans="1:12" s="1" customFormat="1" ht="15.75">
      <c r="A14" s="218"/>
      <c r="B14" s="17"/>
      <c r="C14" s="219"/>
      <c r="E14" s="33"/>
      <c r="F14" s="17"/>
      <c r="G14" s="96"/>
      <c r="H14" s="22"/>
      <c r="I14" s="22"/>
      <c r="J14" s="22"/>
      <c r="K14" s="22"/>
      <c r="L14" s="22"/>
    </row>
    <row r="15" spans="1:12" ht="15.75" customHeight="1">
      <c r="A15" s="218" t="s">
        <v>26</v>
      </c>
      <c r="B15" s="17" t="s">
        <v>67</v>
      </c>
      <c r="C15" s="219">
        <f>'Bill 6 CA'!K155</f>
        <v>750941.79720000003</v>
      </c>
      <c r="E15" s="33" t="s">
        <v>26</v>
      </c>
      <c r="F15" s="17" t="s">
        <v>25</v>
      </c>
      <c r="G15" s="96">
        <v>788026.59172000003</v>
      </c>
      <c r="H15" s="22"/>
      <c r="I15" s="22"/>
      <c r="J15" s="22"/>
      <c r="K15" s="22"/>
      <c r="L15" s="22"/>
    </row>
    <row r="16" spans="1:12" s="1" customFormat="1" ht="15.75" customHeight="1">
      <c r="A16" s="218"/>
      <c r="B16" s="17"/>
      <c r="C16" s="219"/>
      <c r="E16" s="33"/>
      <c r="F16" s="17"/>
      <c r="G16" s="96"/>
      <c r="H16" s="22"/>
      <c r="I16" s="22"/>
      <c r="J16" s="22"/>
      <c r="K16" s="22"/>
      <c r="L16" s="22"/>
    </row>
    <row r="17" spans="1:12" s="1" customFormat="1" ht="15.75" customHeight="1">
      <c r="A17" s="218" t="s">
        <v>28</v>
      </c>
      <c r="B17" s="17" t="s">
        <v>377</v>
      </c>
      <c r="C17" s="219">
        <f>'Bill 7 SWI'!K171</f>
        <v>316762.20423749997</v>
      </c>
      <c r="E17" s="33"/>
      <c r="F17" s="17"/>
      <c r="G17" s="96"/>
      <c r="H17" s="22"/>
      <c r="I17" s="22"/>
      <c r="J17" s="22"/>
      <c r="K17" s="22"/>
      <c r="L17" s="22"/>
    </row>
    <row r="18" spans="1:12" ht="15.75">
      <c r="A18" s="218"/>
      <c r="B18" s="37"/>
      <c r="C18" s="219"/>
      <c r="E18" s="36"/>
      <c r="F18" s="17"/>
      <c r="G18" s="96"/>
      <c r="H18" s="22"/>
      <c r="I18" s="22"/>
      <c r="J18" s="22"/>
      <c r="K18" s="22"/>
      <c r="L18" s="22"/>
    </row>
    <row r="19" spans="1:12" s="1" customFormat="1" ht="15.75">
      <c r="A19" s="218" t="s">
        <v>66</v>
      </c>
      <c r="B19" s="17" t="s">
        <v>311</v>
      </c>
      <c r="C19" s="219">
        <f>'Bill 8 OS'!K232</f>
        <v>765432.69192513055</v>
      </c>
      <c r="E19" s="33" t="s">
        <v>28</v>
      </c>
      <c r="F19" s="17" t="s">
        <v>27</v>
      </c>
      <c r="G19" s="96">
        <v>2455143.5929999994</v>
      </c>
      <c r="H19" s="22"/>
      <c r="I19" s="22"/>
      <c r="J19" s="22"/>
      <c r="K19" s="22"/>
      <c r="L19" s="22"/>
    </row>
    <row r="20" spans="1:12" ht="15.75">
      <c r="B20" s="17"/>
      <c r="C20" s="219"/>
      <c r="E20" s="33"/>
      <c r="F20" s="17"/>
      <c r="G20" s="96"/>
      <c r="H20" s="22"/>
      <c r="I20" s="22"/>
      <c r="J20" s="22"/>
      <c r="K20" s="22"/>
      <c r="L20" s="22"/>
    </row>
    <row r="21" spans="1:12" ht="15.75">
      <c r="A21" s="218" t="s">
        <v>420</v>
      </c>
      <c r="B21" s="17" t="s">
        <v>421</v>
      </c>
      <c r="C21" s="219">
        <f>'Bill 9 Site &amp; AW'!K87</f>
        <v>1499727.81</v>
      </c>
      <c r="E21" s="33" t="s">
        <v>66</v>
      </c>
      <c r="F21" s="17" t="s">
        <v>30</v>
      </c>
      <c r="G21" s="96">
        <v>3745200</v>
      </c>
      <c r="H21" s="22"/>
      <c r="I21" s="22"/>
      <c r="J21" s="22"/>
      <c r="K21" s="22"/>
      <c r="L21" s="22"/>
    </row>
    <row r="22" spans="1:12" ht="16.5" thickBot="1">
      <c r="A22" s="223"/>
      <c r="B22" s="39"/>
      <c r="C22" s="224"/>
      <c r="E22" s="38"/>
      <c r="F22" s="39"/>
      <c r="G22" s="98"/>
      <c r="H22" s="22"/>
      <c r="I22" s="22"/>
      <c r="J22" s="22"/>
      <c r="K22" s="22"/>
      <c r="L22" s="22"/>
    </row>
    <row r="23" spans="1:12" ht="16.5" customHeight="1" thickBot="1">
      <c r="A23" s="526" t="s">
        <v>31</v>
      </c>
      <c r="B23" s="527"/>
      <c r="C23" s="227">
        <f>SUM(C5:C21)</f>
        <v>8697023.2732731644</v>
      </c>
      <c r="E23" s="520" t="s">
        <v>31</v>
      </c>
      <c r="F23" s="521"/>
      <c r="G23" s="99">
        <v>14323225.051442999</v>
      </c>
      <c r="H23" s="22"/>
      <c r="I23" s="22"/>
      <c r="J23" s="22"/>
      <c r="K23" s="22"/>
      <c r="L23" s="22"/>
    </row>
    <row r="24" spans="1:12" ht="15.75" thickTop="1">
      <c r="E24" s="1"/>
      <c r="F24" s="1"/>
      <c r="H24" s="22"/>
      <c r="I24" s="22"/>
      <c r="J24" s="22"/>
      <c r="K24" s="22"/>
      <c r="L24" s="22"/>
    </row>
    <row r="25" spans="1:12">
      <c r="A25" s="18"/>
      <c r="B25" s="18"/>
      <c r="C25" s="32"/>
      <c r="E25" s="1"/>
      <c r="F25" s="1"/>
      <c r="H25" s="22"/>
      <c r="I25" s="22"/>
      <c r="J25" s="22"/>
      <c r="K25" s="22"/>
      <c r="L25" s="22"/>
    </row>
    <row r="30" spans="1:12">
      <c r="A30" s="1"/>
      <c r="B30" s="1"/>
      <c r="D30" s="1"/>
      <c r="E30" s="1"/>
      <c r="F30" s="1"/>
    </row>
    <row r="31" spans="1:12">
      <c r="A31" s="1"/>
      <c r="B31" s="1"/>
      <c r="D31" s="1"/>
      <c r="E31" s="1"/>
      <c r="F31" s="1"/>
    </row>
    <row r="32" spans="1:12">
      <c r="A32" s="1"/>
      <c r="B32" s="1"/>
      <c r="D32" s="1"/>
      <c r="E32" s="1"/>
      <c r="F32" s="1"/>
    </row>
    <row r="33" spans="1:6">
      <c r="A33" s="1"/>
      <c r="B33" s="1"/>
      <c r="D33" s="1"/>
      <c r="E33" s="1"/>
      <c r="F33" s="1"/>
    </row>
  </sheetData>
  <mergeCells count="8">
    <mergeCell ref="E2:E3"/>
    <mergeCell ref="F2:F3"/>
    <mergeCell ref="E23:F23"/>
    <mergeCell ref="A1:B1"/>
    <mergeCell ref="C2:C3"/>
    <mergeCell ref="A23:B23"/>
    <mergeCell ref="A2:A3"/>
    <mergeCell ref="B2:B3"/>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4"/>
  <sheetViews>
    <sheetView topLeftCell="A114" zoomScale="80" zoomScaleNormal="80" zoomScaleSheetLayoutView="100" workbookViewId="0">
      <selection activeCell="B129" sqref="B129"/>
    </sheetView>
  </sheetViews>
  <sheetFormatPr defaultColWidth="9.140625" defaultRowHeight="14.25"/>
  <cols>
    <col min="1" max="1" width="9.28515625" style="24" customWidth="1"/>
    <col min="2" max="2" width="62.85546875" style="11" customWidth="1"/>
    <col min="3" max="3" width="9.7109375" style="68" customWidth="1"/>
    <col min="4" max="7" width="10.7109375" style="11" customWidth="1"/>
    <col min="8" max="8" width="36.140625" style="11" customWidth="1"/>
    <col min="9" max="9" width="10.7109375" style="11" customWidth="1"/>
    <col min="10" max="10" width="15.7109375" style="11" bestFit="1" customWidth="1"/>
    <col min="11" max="11" width="15.5703125" style="11" bestFit="1" customWidth="1"/>
    <col min="12" max="12" width="18.7109375" style="8" customWidth="1"/>
    <col min="13" max="13" width="10.85546875" style="8" bestFit="1" customWidth="1"/>
    <col min="14" max="16384" width="9.140625" style="8"/>
  </cols>
  <sheetData>
    <row r="1" spans="1:11" ht="48.75" customHeight="1">
      <c r="A1" s="485" t="s">
        <v>99</v>
      </c>
      <c r="B1" s="486"/>
      <c r="C1" s="486"/>
      <c r="D1" s="486"/>
      <c r="E1" s="486"/>
      <c r="F1" s="486"/>
      <c r="G1" s="486"/>
      <c r="H1" s="486"/>
      <c r="I1" s="486"/>
      <c r="J1" s="150"/>
      <c r="K1" s="151"/>
    </row>
    <row r="2" spans="1:11" ht="14.25" customHeight="1">
      <c r="A2" s="493" t="s">
        <v>57</v>
      </c>
      <c r="B2" s="494"/>
      <c r="C2" s="494"/>
      <c r="D2" s="494"/>
      <c r="E2" s="494"/>
      <c r="F2" s="494"/>
      <c r="G2" s="494"/>
      <c r="H2" s="494"/>
      <c r="I2" s="494"/>
      <c r="J2" s="156"/>
      <c r="K2" s="157"/>
    </row>
    <row r="3" spans="1:11" ht="20.100000000000001" customHeight="1">
      <c r="A3" s="160" t="s">
        <v>0</v>
      </c>
      <c r="B3" s="161" t="s">
        <v>1</v>
      </c>
      <c r="C3" s="162" t="s">
        <v>2</v>
      </c>
      <c r="D3" s="501" t="s">
        <v>32</v>
      </c>
      <c r="E3" s="501"/>
      <c r="F3" s="501"/>
      <c r="G3" s="501"/>
      <c r="H3" s="501"/>
      <c r="I3" s="162" t="s">
        <v>98</v>
      </c>
      <c r="J3" s="162" t="s">
        <v>4</v>
      </c>
      <c r="K3" s="162" t="s">
        <v>5</v>
      </c>
    </row>
    <row r="4" spans="1:11">
      <c r="A4" s="110">
        <v>1</v>
      </c>
      <c r="B4" s="111" t="s">
        <v>8</v>
      </c>
      <c r="C4" s="112"/>
      <c r="D4" s="320">
        <v>8.5</v>
      </c>
      <c r="E4" s="320">
        <v>4.3</v>
      </c>
      <c r="F4" s="320"/>
      <c r="G4" s="113"/>
      <c r="H4" s="113" t="s">
        <v>214</v>
      </c>
      <c r="I4" s="113"/>
      <c r="J4" s="117"/>
      <c r="K4" s="118"/>
    </row>
    <row r="5" spans="1:11" ht="15">
      <c r="A5" s="121"/>
      <c r="B5" s="111"/>
      <c r="C5" s="112"/>
      <c r="D5" s="320">
        <v>0.8</v>
      </c>
      <c r="E5" s="320">
        <v>0.85</v>
      </c>
      <c r="F5" s="113"/>
      <c r="G5" s="113"/>
      <c r="H5" s="113" t="s">
        <v>137</v>
      </c>
      <c r="I5" s="113"/>
      <c r="J5" s="117"/>
      <c r="K5" s="118"/>
    </row>
    <row r="6" spans="1:11" ht="38.25">
      <c r="A6" s="122"/>
      <c r="B6" s="123" t="s">
        <v>158</v>
      </c>
      <c r="C6" s="124"/>
      <c r="D6" s="320">
        <f>D4-0.4</f>
        <v>8.1</v>
      </c>
      <c r="E6" s="375">
        <f>E4-0.4</f>
        <v>3.9</v>
      </c>
      <c r="F6" s="113"/>
      <c r="G6" s="113"/>
      <c r="H6" s="113"/>
      <c r="I6" s="113"/>
      <c r="J6" s="125"/>
      <c r="K6" s="118"/>
    </row>
    <row r="7" spans="1:11">
      <c r="A7" s="122"/>
      <c r="B7" s="123"/>
      <c r="C7" s="124"/>
      <c r="D7" s="8"/>
      <c r="E7" s="8"/>
      <c r="F7" s="8"/>
      <c r="G7" s="8"/>
      <c r="H7" s="8"/>
      <c r="I7" s="113"/>
      <c r="J7" s="125"/>
      <c r="K7" s="118"/>
    </row>
    <row r="8" spans="1:11">
      <c r="A8" s="110">
        <v>1.1000000000000001</v>
      </c>
      <c r="B8" s="111" t="s">
        <v>178</v>
      </c>
      <c r="C8" s="124"/>
      <c r="D8" s="125"/>
      <c r="E8" s="125"/>
      <c r="F8" s="125"/>
      <c r="G8" s="125"/>
      <c r="H8" s="125"/>
      <c r="I8" s="113"/>
      <c r="J8" s="125"/>
      <c r="K8" s="118"/>
    </row>
    <row r="9" spans="1:11">
      <c r="A9" s="122"/>
      <c r="B9" s="123"/>
      <c r="C9" s="124"/>
      <c r="D9" s="125"/>
      <c r="E9" s="125"/>
      <c r="F9" s="125"/>
      <c r="G9" s="125"/>
      <c r="H9" s="125"/>
      <c r="I9" s="113"/>
      <c r="J9" s="125"/>
      <c r="K9" s="118"/>
    </row>
    <row r="10" spans="1:11" ht="38.25">
      <c r="A10" s="122">
        <v>1.1100000000000001</v>
      </c>
      <c r="B10" s="123" t="s">
        <v>359</v>
      </c>
      <c r="C10" s="124" t="s">
        <v>37</v>
      </c>
      <c r="D10" s="245">
        <f>D4+(2*D5)+0.4</f>
        <v>10.5</v>
      </c>
      <c r="E10" s="245">
        <f>E4+0.4</f>
        <v>4.7</v>
      </c>
      <c r="F10" s="124"/>
      <c r="G10" s="125"/>
      <c r="H10" s="113" t="s">
        <v>138</v>
      </c>
      <c r="I10" s="431">
        <f>D10*E10</f>
        <v>49.35</v>
      </c>
      <c r="J10" s="117">
        <v>100</v>
      </c>
      <c r="K10" s="118">
        <f>I10*J10</f>
        <v>4935</v>
      </c>
    </row>
    <row r="11" spans="1:11">
      <c r="A11" s="122"/>
      <c r="B11" s="123"/>
      <c r="C11" s="124"/>
      <c r="D11" s="125"/>
      <c r="E11" s="125"/>
      <c r="F11" s="125"/>
      <c r="G11" s="125"/>
      <c r="H11" s="125"/>
      <c r="I11" s="117"/>
      <c r="J11" s="117"/>
      <c r="K11" s="118"/>
    </row>
    <row r="12" spans="1:11">
      <c r="A12" s="110">
        <v>1.2</v>
      </c>
      <c r="B12" s="111" t="s">
        <v>179</v>
      </c>
      <c r="C12" s="124"/>
      <c r="D12" s="125"/>
      <c r="E12" s="125"/>
      <c r="F12" s="125"/>
      <c r="G12" s="125"/>
      <c r="H12" s="125"/>
      <c r="I12" s="117"/>
      <c r="J12" s="117"/>
      <c r="K12" s="118"/>
    </row>
    <row r="13" spans="1:11">
      <c r="A13" s="122"/>
      <c r="B13" s="123"/>
      <c r="C13" s="124"/>
      <c r="D13" s="125"/>
      <c r="E13" s="125"/>
      <c r="F13" s="125"/>
      <c r="G13" s="125"/>
      <c r="H13" s="125"/>
      <c r="I13" s="117"/>
      <c r="J13" s="117"/>
      <c r="K13" s="118"/>
    </row>
    <row r="14" spans="1:11" ht="37.5" customHeight="1">
      <c r="A14" s="122"/>
      <c r="B14" s="123" t="s">
        <v>349</v>
      </c>
      <c r="C14" s="124"/>
      <c r="D14" s="125"/>
      <c r="E14" s="125"/>
      <c r="F14" s="125"/>
      <c r="G14" s="125"/>
      <c r="H14" s="125"/>
      <c r="I14" s="117"/>
      <c r="J14" s="117"/>
      <c r="K14" s="118"/>
    </row>
    <row r="15" spans="1:11">
      <c r="A15" s="122"/>
      <c r="B15" s="123"/>
      <c r="C15" s="124"/>
      <c r="D15" s="125"/>
      <c r="E15" s="125"/>
      <c r="F15" s="125"/>
      <c r="G15" s="125"/>
      <c r="H15" s="125"/>
      <c r="I15" s="117"/>
      <c r="J15" s="117"/>
      <c r="K15" s="118"/>
    </row>
    <row r="16" spans="1:11" ht="15.75">
      <c r="A16" s="399">
        <v>1.21</v>
      </c>
      <c r="B16" s="400" t="s">
        <v>43</v>
      </c>
      <c r="C16" s="401" t="s">
        <v>34</v>
      </c>
      <c r="D16" s="412">
        <f>D4+0.6</f>
        <v>9.1</v>
      </c>
      <c r="E16" s="412">
        <f>E4+0.6</f>
        <v>4.8999999999999995</v>
      </c>
      <c r="F16" s="413">
        <f>2*(D5*E5)</f>
        <v>1.36</v>
      </c>
      <c r="G16" s="412">
        <v>1</v>
      </c>
      <c r="H16" s="414"/>
      <c r="I16" s="433">
        <f>((D16*E16)+F16)*G16</f>
        <v>45.949999999999996</v>
      </c>
      <c r="J16" s="411">
        <v>250</v>
      </c>
      <c r="K16" s="404">
        <f>I16*J16</f>
        <v>11487.499999999998</v>
      </c>
    </row>
    <row r="17" spans="1:11">
      <c r="A17" s="122"/>
      <c r="B17" s="123"/>
      <c r="C17" s="124"/>
      <c r="D17" s="125"/>
      <c r="E17" s="125"/>
      <c r="F17" s="125"/>
      <c r="G17" s="125"/>
      <c r="H17" s="125"/>
      <c r="I17" s="117"/>
      <c r="J17" s="117"/>
      <c r="K17" s="118"/>
    </row>
    <row r="18" spans="1:11" ht="15.75">
      <c r="A18" s="399">
        <v>1.22</v>
      </c>
      <c r="B18" s="400" t="s">
        <v>161</v>
      </c>
      <c r="C18" s="401" t="s">
        <v>34</v>
      </c>
      <c r="D18" s="412">
        <f>D16</f>
        <v>9.1</v>
      </c>
      <c r="E18" s="412">
        <f>E16</f>
        <v>4.8999999999999995</v>
      </c>
      <c r="F18" s="412"/>
      <c r="G18" s="414">
        <f>G16</f>
        <v>1</v>
      </c>
      <c r="H18" s="414"/>
      <c r="I18" s="432">
        <f>D18*E18*G18</f>
        <v>44.589999999999996</v>
      </c>
      <c r="J18" s="411">
        <v>300</v>
      </c>
      <c r="K18" s="404">
        <f>I18*J18</f>
        <v>13376.999999999998</v>
      </c>
    </row>
    <row r="19" spans="1:11">
      <c r="A19" s="122"/>
      <c r="B19" s="244"/>
      <c r="C19" s="124"/>
      <c r="D19" s="113"/>
      <c r="E19" s="245"/>
      <c r="F19" s="113"/>
      <c r="G19" s="125"/>
      <c r="H19" s="255"/>
      <c r="I19" s="117"/>
      <c r="J19" s="117"/>
      <c r="K19" s="118"/>
    </row>
    <row r="20" spans="1:11" ht="15.75">
      <c r="A20" s="399">
        <v>1.23</v>
      </c>
      <c r="B20" s="400" t="s">
        <v>162</v>
      </c>
      <c r="C20" s="401" t="s">
        <v>34</v>
      </c>
      <c r="D20" s="412"/>
      <c r="E20" s="412"/>
      <c r="F20" s="412"/>
      <c r="G20" s="414"/>
      <c r="H20" s="414"/>
      <c r="I20" s="432">
        <f>I18</f>
        <v>44.589999999999996</v>
      </c>
      <c r="J20" s="411">
        <v>400</v>
      </c>
      <c r="K20" s="404">
        <f>I20*J20</f>
        <v>17836</v>
      </c>
    </row>
    <row r="21" spans="1:11">
      <c r="A21" s="122"/>
      <c r="B21" s="123"/>
      <c r="C21" s="124"/>
      <c r="D21" s="125"/>
      <c r="E21" s="125"/>
      <c r="F21" s="125"/>
      <c r="G21" s="125"/>
      <c r="H21" s="125"/>
      <c r="I21" s="113"/>
      <c r="J21" s="125"/>
      <c r="K21" s="118"/>
    </row>
    <row r="22" spans="1:11" ht="38.25">
      <c r="A22" s="127">
        <v>1.24</v>
      </c>
      <c r="B22" s="123" t="s">
        <v>363</v>
      </c>
      <c r="C22" s="124" t="s">
        <v>34</v>
      </c>
      <c r="D22" s="125"/>
      <c r="E22" s="125"/>
      <c r="F22" s="125"/>
      <c r="G22" s="125"/>
      <c r="H22" s="255" t="s">
        <v>119</v>
      </c>
      <c r="I22" s="431">
        <f>(I10*0.25)+(30%*(SUM(I16,I18,I20)))</f>
        <v>52.876499999999993</v>
      </c>
      <c r="J22" s="117">
        <v>350</v>
      </c>
      <c r="K22" s="118">
        <f>I22*J22</f>
        <v>18506.774999999998</v>
      </c>
    </row>
    <row r="23" spans="1:11">
      <c r="A23" s="122"/>
      <c r="B23" s="123"/>
      <c r="C23" s="124"/>
      <c r="D23" s="125"/>
      <c r="E23" s="125"/>
      <c r="F23" s="125"/>
      <c r="G23" s="125"/>
      <c r="H23" s="125"/>
      <c r="I23" s="117"/>
      <c r="J23" s="117"/>
      <c r="K23" s="118"/>
    </row>
    <row r="24" spans="1:11" ht="38.25">
      <c r="A24" s="405">
        <v>1.25</v>
      </c>
      <c r="B24" s="406" t="s">
        <v>436</v>
      </c>
      <c r="C24" s="407" t="s">
        <v>34</v>
      </c>
      <c r="D24" s="415"/>
      <c r="E24" s="415"/>
      <c r="F24" s="415"/>
      <c r="G24" s="415"/>
      <c r="H24" s="408" t="s">
        <v>204</v>
      </c>
      <c r="I24" s="432">
        <f>60%*(SUM($I16:$I20))</f>
        <v>81.077999999999989</v>
      </c>
      <c r="J24" s="411">
        <v>600</v>
      </c>
      <c r="K24" s="404">
        <f>I24*J24</f>
        <v>48646.799999999996</v>
      </c>
    </row>
    <row r="25" spans="1:11">
      <c r="A25" s="128"/>
      <c r="B25" s="129"/>
      <c r="C25" s="130"/>
      <c r="D25" s="131"/>
      <c r="E25" s="131"/>
      <c r="F25" s="131"/>
      <c r="G25" s="131"/>
      <c r="H25" s="264"/>
      <c r="I25" s="130"/>
      <c r="J25" s="117"/>
      <c r="K25" s="118"/>
    </row>
    <row r="26" spans="1:11" ht="30.75" customHeight="1">
      <c r="A26" s="405">
        <v>1.26</v>
      </c>
      <c r="B26" s="406" t="s">
        <v>35</v>
      </c>
      <c r="C26" s="407" t="s">
        <v>34</v>
      </c>
      <c r="D26" s="415"/>
      <c r="E26" s="415"/>
      <c r="F26" s="415"/>
      <c r="G26" s="415"/>
      <c r="H26" s="408" t="s">
        <v>153</v>
      </c>
      <c r="I26" s="432">
        <f>30%*(SUM($I16:$I20))</f>
        <v>40.538999999999994</v>
      </c>
      <c r="J26" s="411">
        <v>960</v>
      </c>
      <c r="K26" s="404">
        <f>I26*J26</f>
        <v>38917.439999999995</v>
      </c>
    </row>
    <row r="27" spans="1:11">
      <c r="A27" s="128"/>
      <c r="B27" s="129"/>
      <c r="C27" s="130"/>
      <c r="D27" s="131"/>
      <c r="E27" s="131"/>
      <c r="F27" s="131"/>
      <c r="G27" s="131"/>
      <c r="H27" s="264"/>
      <c r="I27" s="130"/>
      <c r="J27" s="117"/>
      <c r="K27" s="118"/>
    </row>
    <row r="28" spans="1:11" ht="30.75" customHeight="1">
      <c r="A28" s="405">
        <v>1.27</v>
      </c>
      <c r="B28" s="406" t="s">
        <v>36</v>
      </c>
      <c r="C28" s="407" t="s">
        <v>34</v>
      </c>
      <c r="D28" s="415"/>
      <c r="E28" s="415"/>
      <c r="F28" s="415"/>
      <c r="G28" s="415"/>
      <c r="H28" s="408" t="s">
        <v>215</v>
      </c>
      <c r="I28" s="432">
        <f>10%*(SUM($I16:$I20))</f>
        <v>13.513</v>
      </c>
      <c r="J28" s="411">
        <v>1800</v>
      </c>
      <c r="K28" s="404">
        <f>I28*J28</f>
        <v>24323.4</v>
      </c>
    </row>
    <row r="29" spans="1:11">
      <c r="A29" s="122"/>
      <c r="B29" s="123"/>
      <c r="C29" s="124"/>
      <c r="D29" s="125"/>
      <c r="E29" s="125"/>
      <c r="F29" s="125"/>
      <c r="G29" s="125"/>
      <c r="H29" s="125"/>
      <c r="I29" s="117"/>
      <c r="J29" s="117"/>
      <c r="K29" s="118"/>
    </row>
    <row r="30" spans="1:11">
      <c r="A30" s="110">
        <v>1.3</v>
      </c>
      <c r="B30" s="111" t="s">
        <v>180</v>
      </c>
      <c r="C30" s="124"/>
      <c r="D30" s="125"/>
      <c r="E30" s="125"/>
      <c r="F30" s="125"/>
      <c r="G30" s="125"/>
      <c r="H30" s="125"/>
      <c r="I30" s="117"/>
      <c r="J30" s="117"/>
      <c r="K30" s="118"/>
    </row>
    <row r="31" spans="1:11">
      <c r="A31" s="8"/>
      <c r="B31" s="123"/>
      <c r="C31" s="124"/>
      <c r="D31" s="125"/>
      <c r="E31" s="125"/>
      <c r="F31" s="125"/>
      <c r="G31" s="125"/>
      <c r="H31" s="125"/>
      <c r="I31" s="117"/>
      <c r="J31" s="117"/>
      <c r="K31" s="118"/>
    </row>
    <row r="32" spans="1:11" ht="31.5" customHeight="1">
      <c r="A32" s="122">
        <v>1.31</v>
      </c>
      <c r="B32" s="123" t="s">
        <v>205</v>
      </c>
      <c r="C32" s="124" t="s">
        <v>34</v>
      </c>
      <c r="D32" s="126">
        <f>D4</f>
        <v>8.5</v>
      </c>
      <c r="E32" s="126">
        <f>E4</f>
        <v>4.3</v>
      </c>
      <c r="F32" s="126">
        <v>0.25</v>
      </c>
      <c r="G32" s="125"/>
      <c r="H32" s="131"/>
      <c r="I32" s="431">
        <f>((D32*E32)+2*(D33*E33))*F32</f>
        <v>9.4774999999999991</v>
      </c>
      <c r="J32" s="117">
        <v>980</v>
      </c>
      <c r="K32" s="118">
        <f>I32*J32</f>
        <v>9287.9499999999989</v>
      </c>
    </row>
    <row r="33" spans="1:11" s="11" customFormat="1">
      <c r="A33" s="133"/>
      <c r="B33" s="129"/>
      <c r="C33" s="130"/>
      <c r="D33" s="129">
        <f>D5</f>
        <v>0.8</v>
      </c>
      <c r="E33" s="129">
        <f>E5</f>
        <v>0.85</v>
      </c>
      <c r="F33" s="129"/>
      <c r="G33" s="129"/>
      <c r="H33" s="129"/>
      <c r="I33" s="130"/>
      <c r="J33" s="123"/>
      <c r="K33" s="118"/>
    </row>
    <row r="34" spans="1:11" s="154" customFormat="1" ht="15">
      <c r="A34" s="487" t="s">
        <v>111</v>
      </c>
      <c r="B34" s="488"/>
      <c r="C34" s="488"/>
      <c r="D34" s="488"/>
      <c r="E34" s="488"/>
      <c r="F34" s="488"/>
      <c r="G34" s="488"/>
      <c r="H34" s="488"/>
      <c r="I34" s="488"/>
      <c r="J34" s="489"/>
      <c r="K34" s="240">
        <f>SUM(K4:K33)</f>
        <v>187317.86499999999</v>
      </c>
    </row>
    <row r="35" spans="1:11" s="11" customFormat="1">
      <c r="A35" s="107"/>
      <c r="B35" s="134"/>
      <c r="C35" s="109"/>
      <c r="D35" s="109"/>
      <c r="E35" s="109"/>
      <c r="F35" s="109"/>
      <c r="G35" s="109"/>
      <c r="H35" s="109"/>
      <c r="I35" s="109"/>
      <c r="J35" s="118"/>
      <c r="K35" s="118"/>
    </row>
    <row r="36" spans="1:11">
      <c r="A36" s="110">
        <v>2</v>
      </c>
      <c r="B36" s="250" t="s">
        <v>154</v>
      </c>
      <c r="C36" s="112"/>
      <c r="D36" s="113"/>
      <c r="E36" s="113"/>
      <c r="F36" s="113"/>
      <c r="G36" s="113"/>
      <c r="H36" s="113"/>
      <c r="I36" s="117"/>
      <c r="J36" s="117"/>
      <c r="K36" s="118"/>
    </row>
    <row r="37" spans="1:11">
      <c r="A37" s="119"/>
      <c r="B37" s="120"/>
      <c r="C37" s="112"/>
      <c r="D37" s="113"/>
      <c r="E37" s="113"/>
      <c r="F37" s="113"/>
      <c r="G37" s="113"/>
      <c r="H37" s="113"/>
      <c r="I37" s="117"/>
      <c r="J37" s="117"/>
      <c r="K37" s="118"/>
    </row>
    <row r="38" spans="1:11">
      <c r="A38" s="119">
        <v>2.1</v>
      </c>
      <c r="B38" s="136" t="s">
        <v>282</v>
      </c>
      <c r="C38" s="112"/>
      <c r="D38" s="113"/>
      <c r="E38" s="113"/>
      <c r="F38" s="113"/>
      <c r="G38" s="113"/>
      <c r="H38" s="113"/>
      <c r="I38" s="113"/>
      <c r="J38" s="117"/>
      <c r="K38" s="118"/>
    </row>
    <row r="39" spans="1:11">
      <c r="A39" s="119"/>
      <c r="B39" s="129"/>
      <c r="C39" s="112"/>
      <c r="D39" s="113"/>
      <c r="E39" s="113"/>
      <c r="F39" s="113"/>
      <c r="G39" s="113"/>
      <c r="H39" s="113"/>
      <c r="I39" s="113"/>
      <c r="J39" s="117"/>
      <c r="K39" s="118"/>
    </row>
    <row r="40" spans="1:11" ht="15.75">
      <c r="A40" s="132">
        <v>2.11</v>
      </c>
      <c r="B40" s="129" t="s">
        <v>439</v>
      </c>
      <c r="C40" s="112" t="s">
        <v>37</v>
      </c>
      <c r="D40" s="113"/>
      <c r="E40" s="113"/>
      <c r="F40" s="113"/>
      <c r="G40" s="113"/>
      <c r="H40" s="113"/>
      <c r="I40" s="434">
        <f>I32</f>
        <v>9.4774999999999991</v>
      </c>
      <c r="J40" s="253">
        <v>150</v>
      </c>
      <c r="K40" s="118">
        <f>I40*J40</f>
        <v>1421.6249999999998</v>
      </c>
    </row>
    <row r="41" spans="1:11">
      <c r="A41" s="119"/>
      <c r="B41" s="129"/>
      <c r="C41" s="112"/>
      <c r="D41" s="113"/>
      <c r="E41" s="113"/>
      <c r="F41" s="113"/>
      <c r="G41" s="113"/>
      <c r="H41" s="113"/>
      <c r="I41" s="113"/>
      <c r="J41" s="117"/>
      <c r="K41" s="118"/>
    </row>
    <row r="42" spans="1:11">
      <c r="A42" s="119">
        <v>2.2000000000000002</v>
      </c>
      <c r="B42" s="137" t="s">
        <v>48</v>
      </c>
      <c r="C42" s="112"/>
      <c r="D42" s="113"/>
      <c r="E42" s="113"/>
      <c r="F42" s="113"/>
      <c r="G42" s="113"/>
      <c r="H42" s="113"/>
      <c r="I42" s="117"/>
      <c r="J42" s="117"/>
      <c r="K42" s="118"/>
    </row>
    <row r="43" spans="1:11" ht="15">
      <c r="A43" s="110"/>
      <c r="B43" s="114"/>
      <c r="C43" s="112"/>
      <c r="D43" s="113"/>
      <c r="E43" s="113"/>
      <c r="F43" s="113"/>
      <c r="G43" s="113"/>
      <c r="H43" s="113"/>
      <c r="I43" s="117"/>
      <c r="J43" s="117"/>
      <c r="K43" s="118"/>
    </row>
    <row r="44" spans="1:11" ht="25.5">
      <c r="A44" s="122">
        <v>2.21</v>
      </c>
      <c r="B44" s="264" t="s">
        <v>198</v>
      </c>
      <c r="C44" s="112" t="s">
        <v>12</v>
      </c>
      <c r="D44" s="113">
        <f>(D6*2)+((E6-0.4)*3)</f>
        <v>26.7</v>
      </c>
      <c r="E44" s="113">
        <v>0.05</v>
      </c>
      <c r="F44" s="113">
        <v>0.6</v>
      </c>
      <c r="H44" s="113"/>
      <c r="I44" s="434">
        <f>D44*E44*F44</f>
        <v>0.80099999999999993</v>
      </c>
      <c r="J44" s="117">
        <v>13970</v>
      </c>
      <c r="K44" s="118">
        <f>I44*J44</f>
        <v>11189.97</v>
      </c>
    </row>
    <row r="45" spans="1:11">
      <c r="A45" s="265"/>
      <c r="B45" s="264"/>
      <c r="C45" s="112"/>
      <c r="D45" s="113"/>
      <c r="E45" s="113"/>
      <c r="F45" s="113"/>
      <c r="G45" s="113"/>
      <c r="H45" s="113"/>
      <c r="I45" s="113"/>
      <c r="J45" s="117"/>
      <c r="K45" s="118"/>
    </row>
    <row r="46" spans="1:11" ht="51">
      <c r="A46" s="122">
        <v>2.2200000000000002</v>
      </c>
      <c r="B46" s="123" t="s">
        <v>449</v>
      </c>
      <c r="C46" s="112" t="s">
        <v>13</v>
      </c>
      <c r="D46" s="113">
        <f>D4</f>
        <v>8.5</v>
      </c>
      <c r="E46" s="113">
        <f>E4</f>
        <v>4.3</v>
      </c>
      <c r="F46" s="113"/>
      <c r="G46" s="113"/>
      <c r="H46" s="113"/>
      <c r="I46" s="434">
        <f>D46*E46</f>
        <v>36.549999999999997</v>
      </c>
      <c r="J46" s="117">
        <v>495</v>
      </c>
      <c r="K46" s="118">
        <f>I46*J46</f>
        <v>18092.25</v>
      </c>
    </row>
    <row r="47" spans="1:11">
      <c r="A47" s="122"/>
      <c r="B47" s="123"/>
      <c r="C47" s="112"/>
      <c r="D47" s="113"/>
      <c r="E47" s="113"/>
      <c r="F47" s="113"/>
      <c r="G47" s="113"/>
      <c r="H47" s="113"/>
      <c r="I47" s="113"/>
      <c r="J47" s="117"/>
      <c r="K47" s="118"/>
    </row>
    <row r="48" spans="1:11" ht="51">
      <c r="A48" s="122">
        <v>2.23</v>
      </c>
      <c r="B48" s="123" t="s">
        <v>452</v>
      </c>
      <c r="C48" s="112" t="s">
        <v>12</v>
      </c>
      <c r="D48" s="113">
        <f>D46</f>
        <v>8.5</v>
      </c>
      <c r="E48" s="113">
        <f>E46</f>
        <v>4.3</v>
      </c>
      <c r="F48" s="113">
        <v>0.15</v>
      </c>
      <c r="G48" s="113"/>
      <c r="H48" s="247"/>
      <c r="I48" s="434">
        <f>((D48*E48)+2*(D49*E49))*F48</f>
        <v>5.6864999999999997</v>
      </c>
      <c r="J48" s="117">
        <v>13970</v>
      </c>
      <c r="K48" s="118">
        <f>I48*J48</f>
        <v>79440.404999999999</v>
      </c>
    </row>
    <row r="49" spans="1:11">
      <c r="A49" s="122"/>
      <c r="B49" s="120"/>
      <c r="C49" s="112"/>
      <c r="D49" s="113">
        <f>D5</f>
        <v>0.8</v>
      </c>
      <c r="E49" s="113">
        <f>E5</f>
        <v>0.85</v>
      </c>
      <c r="F49" s="113"/>
      <c r="G49" s="113"/>
      <c r="H49" s="113"/>
      <c r="I49" s="113"/>
      <c r="J49" s="117"/>
      <c r="K49" s="118"/>
    </row>
    <row r="50" spans="1:11">
      <c r="A50" s="119">
        <v>2.2999999999999998</v>
      </c>
      <c r="B50" s="136" t="s">
        <v>82</v>
      </c>
      <c r="C50" s="112"/>
      <c r="D50" s="113"/>
      <c r="E50" s="113"/>
      <c r="F50" s="113"/>
      <c r="G50" s="113"/>
      <c r="H50" s="113"/>
      <c r="I50" s="113"/>
      <c r="J50" s="117"/>
      <c r="K50" s="118"/>
    </row>
    <row r="51" spans="1:11">
      <c r="A51" s="119"/>
      <c r="B51" s="136"/>
      <c r="C51" s="112"/>
      <c r="D51" s="113"/>
      <c r="E51" s="113"/>
      <c r="F51" s="113"/>
      <c r="G51" s="113"/>
      <c r="H51" s="113"/>
      <c r="I51" s="113"/>
      <c r="J51" s="117"/>
      <c r="K51" s="118"/>
    </row>
    <row r="52" spans="1:11" ht="61.5" customHeight="1">
      <c r="A52" s="122">
        <v>2.31</v>
      </c>
      <c r="B52" s="129" t="s">
        <v>463</v>
      </c>
      <c r="C52" s="112" t="s">
        <v>37</v>
      </c>
      <c r="D52" s="113">
        <f>D4</f>
        <v>8.5</v>
      </c>
      <c r="E52" s="245">
        <f>E4</f>
        <v>4.3</v>
      </c>
      <c r="F52" s="113">
        <f>D5</f>
        <v>0.8</v>
      </c>
      <c r="G52" s="113">
        <f>E5</f>
        <v>0.85</v>
      </c>
      <c r="H52" s="247" t="s">
        <v>140</v>
      </c>
      <c r="I52" s="434">
        <f>(D52*E52)+(2*F52*G52)</f>
        <v>37.909999999999997</v>
      </c>
      <c r="J52" s="117">
        <v>450</v>
      </c>
      <c r="K52" s="118">
        <f>I52*J52</f>
        <v>17059.5</v>
      </c>
    </row>
    <row r="53" spans="1:11" ht="12" customHeight="1">
      <c r="A53" s="122"/>
      <c r="B53" s="129"/>
      <c r="C53" s="112"/>
      <c r="D53" s="113"/>
      <c r="E53" s="113"/>
      <c r="F53" s="113"/>
      <c r="G53" s="113"/>
      <c r="H53" s="113"/>
      <c r="I53" s="113"/>
      <c r="J53" s="117"/>
      <c r="K53" s="118"/>
    </row>
    <row r="54" spans="1:11">
      <c r="A54" s="122">
        <v>2.3199999999999998</v>
      </c>
      <c r="B54" s="129" t="s">
        <v>45</v>
      </c>
      <c r="C54" s="112" t="s">
        <v>38</v>
      </c>
      <c r="D54" s="113"/>
      <c r="E54" s="113"/>
      <c r="F54" s="113"/>
      <c r="G54" s="113"/>
      <c r="H54" s="113"/>
      <c r="I54" s="434">
        <v>233.14244458354833</v>
      </c>
      <c r="J54" s="117">
        <v>150</v>
      </c>
      <c r="K54" s="118">
        <f>I54*J54</f>
        <v>34971.366687532252</v>
      </c>
    </row>
    <row r="55" spans="1:11">
      <c r="A55" s="122"/>
      <c r="B55" s="129"/>
      <c r="C55" s="112"/>
      <c r="D55" s="113"/>
      <c r="E55" s="113"/>
      <c r="F55" s="113"/>
      <c r="G55" s="113"/>
      <c r="H55" s="113"/>
      <c r="I55" s="113"/>
      <c r="J55" s="117"/>
      <c r="K55" s="118"/>
    </row>
    <row r="56" spans="1:11">
      <c r="A56" s="119">
        <v>2.4</v>
      </c>
      <c r="B56" s="136" t="s">
        <v>118</v>
      </c>
      <c r="C56" s="112"/>
      <c r="D56" s="125"/>
      <c r="E56" s="125"/>
      <c r="F56" s="125"/>
      <c r="G56" s="125"/>
      <c r="H56" s="125"/>
      <c r="I56" s="113"/>
      <c r="J56" s="125"/>
      <c r="K56" s="118"/>
    </row>
    <row r="57" spans="1:11">
      <c r="A57" s="119"/>
      <c r="B57" s="136"/>
      <c r="C57" s="112"/>
      <c r="D57" s="125"/>
      <c r="E57" s="125"/>
      <c r="F57" s="125"/>
      <c r="G57" s="125"/>
      <c r="H57" s="125"/>
      <c r="I57" s="113"/>
      <c r="J57" s="125"/>
      <c r="K57" s="118"/>
    </row>
    <row r="58" spans="1:11" ht="15.75">
      <c r="A58" s="122">
        <v>2.41</v>
      </c>
      <c r="B58" s="129" t="s">
        <v>360</v>
      </c>
      <c r="C58" s="130" t="s">
        <v>37</v>
      </c>
      <c r="D58" s="125">
        <f>D6-0.4</f>
        <v>7.6999999999999993</v>
      </c>
      <c r="E58" s="125">
        <f>E6-0.4</f>
        <v>3.5</v>
      </c>
      <c r="F58" s="125"/>
      <c r="G58" s="125"/>
      <c r="H58" s="125"/>
      <c r="I58" s="434">
        <f>D58*E58</f>
        <v>26.949999999999996</v>
      </c>
      <c r="J58" s="117">
        <v>320</v>
      </c>
      <c r="K58" s="118">
        <f>I58*J58</f>
        <v>8623.9999999999982</v>
      </c>
    </row>
    <row r="59" spans="1:11" s="11" customFormat="1">
      <c r="A59" s="119"/>
      <c r="B59" s="129"/>
      <c r="C59" s="79"/>
      <c r="D59" s="113"/>
      <c r="E59" s="113"/>
      <c r="F59" s="113"/>
      <c r="G59" s="113"/>
      <c r="H59" s="113"/>
      <c r="I59" s="112"/>
      <c r="J59" s="117"/>
      <c r="K59" s="118"/>
    </row>
    <row r="60" spans="1:11" s="154" customFormat="1" ht="15">
      <c r="A60" s="487" t="s">
        <v>102</v>
      </c>
      <c r="B60" s="488"/>
      <c r="C60" s="488"/>
      <c r="D60" s="488"/>
      <c r="E60" s="488"/>
      <c r="F60" s="488"/>
      <c r="G60" s="488"/>
      <c r="H60" s="488"/>
      <c r="I60" s="488"/>
      <c r="J60" s="489"/>
      <c r="K60" s="240">
        <f>SUM(K35:K59)</f>
        <v>170799.11668753225</v>
      </c>
    </row>
    <row r="61" spans="1:11" s="11" customFormat="1">
      <c r="A61" s="107"/>
      <c r="B61" s="134"/>
      <c r="C61" s="109"/>
      <c r="D61" s="109"/>
      <c r="E61" s="109"/>
      <c r="F61" s="109"/>
      <c r="G61" s="109"/>
      <c r="H61" s="109"/>
      <c r="I61" s="109"/>
      <c r="J61" s="118"/>
      <c r="K61" s="118"/>
    </row>
    <row r="62" spans="1:11" ht="15" customHeight="1">
      <c r="A62" s="119">
        <v>3</v>
      </c>
      <c r="B62" s="136" t="s">
        <v>42</v>
      </c>
      <c r="C62" s="79"/>
      <c r="D62" s="125"/>
      <c r="E62" s="125"/>
      <c r="F62" s="125"/>
      <c r="G62" s="125"/>
      <c r="H62" s="125"/>
      <c r="I62" s="113"/>
      <c r="J62" s="125"/>
      <c r="K62" s="118"/>
    </row>
    <row r="63" spans="1:11">
      <c r="A63" s="107"/>
      <c r="B63" s="134"/>
      <c r="C63" s="109"/>
      <c r="D63" s="109"/>
      <c r="E63" s="109"/>
      <c r="F63" s="109"/>
      <c r="G63" s="109"/>
      <c r="H63" s="109"/>
      <c r="I63" s="109"/>
      <c r="J63" s="118"/>
      <c r="K63" s="118"/>
    </row>
    <row r="64" spans="1:11" ht="15" customHeight="1">
      <c r="A64" s="119">
        <v>3.1</v>
      </c>
      <c r="B64" s="136" t="s">
        <v>188</v>
      </c>
      <c r="C64" s="109"/>
      <c r="D64" s="109"/>
      <c r="E64" s="109"/>
      <c r="F64" s="109"/>
      <c r="G64" s="109"/>
      <c r="H64" s="109"/>
      <c r="I64" s="109"/>
      <c r="J64" s="118"/>
      <c r="K64" s="118"/>
    </row>
    <row r="65" spans="1:11">
      <c r="A65" s="107"/>
      <c r="B65" s="134"/>
      <c r="C65" s="109"/>
      <c r="D65" s="109"/>
      <c r="E65" s="109"/>
      <c r="F65" s="109"/>
      <c r="G65" s="109"/>
      <c r="H65" s="109"/>
      <c r="I65" s="109"/>
      <c r="J65" s="118"/>
      <c r="K65" s="118"/>
    </row>
    <row r="66" spans="1:11" ht="38.25">
      <c r="A66" s="119"/>
      <c r="B66" s="129" t="s">
        <v>259</v>
      </c>
      <c r="C66" s="112"/>
      <c r="D66" s="113"/>
      <c r="E66" s="113"/>
      <c r="F66" s="113"/>
      <c r="G66" s="113"/>
      <c r="H66" s="113"/>
      <c r="I66" s="113"/>
      <c r="J66" s="117"/>
      <c r="K66" s="118"/>
    </row>
    <row r="67" spans="1:11">
      <c r="A67" s="119"/>
      <c r="B67" s="129"/>
      <c r="C67" s="112"/>
      <c r="D67" s="113"/>
      <c r="E67" s="113"/>
      <c r="F67" s="113"/>
      <c r="G67" s="113"/>
      <c r="H67" s="113"/>
      <c r="I67" s="113"/>
      <c r="J67" s="117"/>
      <c r="K67" s="118"/>
    </row>
    <row r="68" spans="1:11" ht="15.75">
      <c r="A68" s="122">
        <v>3.11</v>
      </c>
      <c r="B68" s="129" t="s">
        <v>41</v>
      </c>
      <c r="C68" s="112" t="s">
        <v>37</v>
      </c>
      <c r="D68" s="113">
        <f>D6*3*2</f>
        <v>48.599999999999994</v>
      </c>
      <c r="E68" s="113">
        <f>(E6-0.4)*3*3</f>
        <v>31.5</v>
      </c>
      <c r="F68" s="113">
        <f>(E5*0.7*2)+((D5-0.2)*0.7*4)</f>
        <v>2.87</v>
      </c>
      <c r="G68" s="125"/>
      <c r="H68" s="255"/>
      <c r="I68" s="434">
        <f>SUM(D68:F68)</f>
        <v>82.97</v>
      </c>
      <c r="J68" s="117">
        <v>2200</v>
      </c>
      <c r="K68" s="118">
        <f>I68*J68</f>
        <v>182534</v>
      </c>
    </row>
    <row r="69" spans="1:11">
      <c r="A69" s="119"/>
      <c r="B69" s="129"/>
      <c r="C69" s="112"/>
      <c r="D69" s="113"/>
      <c r="E69" s="113"/>
      <c r="F69" s="113"/>
      <c r="G69" s="113"/>
      <c r="H69" s="113"/>
      <c r="I69" s="113"/>
      <c r="J69" s="117"/>
      <c r="K69" s="118"/>
    </row>
    <row r="70" spans="1:11">
      <c r="A70" s="119">
        <v>3.2</v>
      </c>
      <c r="B70" s="136" t="s">
        <v>177</v>
      </c>
      <c r="C70" s="112"/>
      <c r="D70" s="113"/>
      <c r="E70" s="113"/>
      <c r="F70" s="113"/>
      <c r="G70" s="113"/>
      <c r="H70" s="113"/>
      <c r="I70" s="113"/>
      <c r="J70" s="117"/>
      <c r="K70" s="118"/>
    </row>
    <row r="71" spans="1:11">
      <c r="A71" s="119"/>
      <c r="B71" s="129"/>
      <c r="C71" s="112"/>
      <c r="D71" s="113"/>
      <c r="E71" s="113"/>
      <c r="F71" s="113"/>
      <c r="G71" s="113"/>
      <c r="H71" s="113"/>
      <c r="I71" s="113"/>
      <c r="J71" s="117"/>
      <c r="K71" s="118"/>
    </row>
    <row r="72" spans="1:11" ht="15.75">
      <c r="A72" s="122">
        <v>3.21</v>
      </c>
      <c r="B72" s="123" t="s">
        <v>207</v>
      </c>
      <c r="C72" s="112" t="s">
        <v>37</v>
      </c>
      <c r="D72" s="113"/>
      <c r="E72" s="113"/>
      <c r="F72" s="113"/>
      <c r="G72" s="113"/>
      <c r="H72" s="245"/>
      <c r="I72" s="434">
        <f>I68*2</f>
        <v>165.94</v>
      </c>
      <c r="J72" s="117">
        <v>550</v>
      </c>
      <c r="K72" s="118">
        <f>I72*J72</f>
        <v>91267</v>
      </c>
    </row>
    <row r="73" spans="1:11">
      <c r="A73" s="119"/>
      <c r="B73" s="123"/>
      <c r="C73" s="112"/>
      <c r="D73" s="125"/>
      <c r="E73" s="125"/>
      <c r="F73" s="125"/>
      <c r="G73" s="125"/>
      <c r="H73" s="125"/>
      <c r="I73" s="113"/>
      <c r="J73" s="125"/>
      <c r="K73" s="118"/>
    </row>
    <row r="74" spans="1:11" s="154" customFormat="1" ht="15">
      <c r="A74" s="487" t="s">
        <v>103</v>
      </c>
      <c r="B74" s="488"/>
      <c r="C74" s="488"/>
      <c r="D74" s="488"/>
      <c r="E74" s="488"/>
      <c r="F74" s="488"/>
      <c r="G74" s="488"/>
      <c r="H74" s="488"/>
      <c r="I74" s="488"/>
      <c r="J74" s="489"/>
      <c r="K74" s="240">
        <f>SUM(K61:K73)</f>
        <v>273801</v>
      </c>
    </row>
    <row r="75" spans="1:11" s="11" customFormat="1">
      <c r="A75" s="107"/>
      <c r="B75" s="134"/>
      <c r="C75" s="109"/>
      <c r="D75" s="109"/>
      <c r="E75" s="109"/>
      <c r="F75" s="109"/>
      <c r="G75" s="109"/>
      <c r="H75" s="109"/>
      <c r="I75" s="109"/>
      <c r="J75" s="118"/>
      <c r="K75" s="118"/>
    </row>
    <row r="76" spans="1:11" ht="25.5">
      <c r="A76" s="110">
        <v>4</v>
      </c>
      <c r="B76" s="250" t="s">
        <v>155</v>
      </c>
      <c r="C76" s="112"/>
      <c r="D76" s="113"/>
      <c r="E76" s="113"/>
      <c r="F76" s="113"/>
      <c r="G76" s="113"/>
      <c r="H76" s="113"/>
      <c r="I76" s="117"/>
      <c r="J76" s="117"/>
      <c r="K76" s="118"/>
    </row>
    <row r="77" spans="1:11">
      <c r="A77" s="119"/>
      <c r="B77" s="120"/>
      <c r="C77" s="112"/>
      <c r="D77" s="113"/>
      <c r="E77" s="113"/>
      <c r="F77" s="113"/>
      <c r="G77" s="113"/>
      <c r="H77" s="113"/>
      <c r="I77" s="117"/>
      <c r="J77" s="117"/>
      <c r="K77" s="118"/>
    </row>
    <row r="78" spans="1:11">
      <c r="A78" s="119">
        <v>4.0999999999999996</v>
      </c>
      <c r="B78" s="137" t="s">
        <v>48</v>
      </c>
      <c r="C78" s="112"/>
      <c r="D78" s="113"/>
      <c r="E78" s="113"/>
      <c r="F78" s="113"/>
      <c r="G78" s="113"/>
      <c r="H78" s="113"/>
      <c r="I78" s="117"/>
      <c r="J78" s="117"/>
      <c r="K78" s="118"/>
    </row>
    <row r="79" spans="1:11" ht="15">
      <c r="A79" s="110"/>
      <c r="B79" s="114"/>
      <c r="C79" s="112"/>
      <c r="D79" s="113"/>
      <c r="E79" s="113"/>
      <c r="F79" s="113"/>
      <c r="G79" s="113"/>
      <c r="H79" s="113"/>
      <c r="I79" s="117"/>
      <c r="J79" s="117"/>
      <c r="K79" s="118"/>
    </row>
    <row r="80" spans="1:11" ht="44.25" customHeight="1">
      <c r="A80" s="122">
        <v>4.1100000000000003</v>
      </c>
      <c r="B80" s="123" t="s">
        <v>195</v>
      </c>
      <c r="C80" s="112" t="s">
        <v>12</v>
      </c>
      <c r="D80" s="245">
        <f>(D6*2)+(E6*3)</f>
        <v>27.9</v>
      </c>
      <c r="E80" s="113">
        <v>0.2</v>
      </c>
      <c r="F80" s="113">
        <v>0.4</v>
      </c>
      <c r="G80" s="113"/>
      <c r="H80" s="135"/>
      <c r="I80" s="434">
        <f>D80*E80*F80</f>
        <v>2.2320000000000002</v>
      </c>
      <c r="J80" s="117">
        <v>13970</v>
      </c>
      <c r="K80" s="118">
        <f>I80*J80</f>
        <v>31181.040000000005</v>
      </c>
    </row>
    <row r="81" spans="1:11" ht="12.75" customHeight="1">
      <c r="A81" s="122"/>
      <c r="B81" s="123"/>
      <c r="C81" s="112"/>
      <c r="D81" s="245"/>
      <c r="E81" s="113"/>
      <c r="F81" s="113"/>
      <c r="G81" s="113"/>
      <c r="H81" s="135"/>
      <c r="I81" s="113"/>
      <c r="J81" s="117"/>
      <c r="K81" s="118"/>
    </row>
    <row r="82" spans="1:11" ht="38.25">
      <c r="A82" s="122">
        <v>4.12</v>
      </c>
      <c r="B82" s="129" t="s">
        <v>217</v>
      </c>
      <c r="C82" s="112" t="s">
        <v>12</v>
      </c>
      <c r="D82" s="113">
        <f>D6</f>
        <v>8.1</v>
      </c>
      <c r="E82" s="113">
        <f>E6</f>
        <v>3.9</v>
      </c>
      <c r="F82" s="113">
        <v>0.15</v>
      </c>
      <c r="G82" s="113"/>
      <c r="H82" s="247"/>
      <c r="I82" s="435">
        <f>D82*E82*F82</f>
        <v>4.7384999999999993</v>
      </c>
      <c r="J82" s="117">
        <v>13970</v>
      </c>
      <c r="K82" s="118">
        <f>I82*J82</f>
        <v>66196.844999999987</v>
      </c>
    </row>
    <row r="83" spans="1:11">
      <c r="A83" s="265"/>
      <c r="B83" s="264"/>
      <c r="C83" s="112"/>
      <c r="D83" s="113"/>
      <c r="E83" s="113"/>
      <c r="F83" s="113"/>
      <c r="G83" s="113"/>
      <c r="H83" s="113"/>
      <c r="I83" s="113"/>
      <c r="J83" s="117"/>
      <c r="K83" s="118"/>
    </row>
    <row r="84" spans="1:11" ht="25.5">
      <c r="A84" s="122">
        <v>4.13</v>
      </c>
      <c r="B84" s="252" t="s">
        <v>440</v>
      </c>
      <c r="C84" s="112" t="s">
        <v>11</v>
      </c>
      <c r="D84" s="113"/>
      <c r="E84" s="113"/>
      <c r="F84" s="113"/>
      <c r="G84" s="113"/>
      <c r="H84" s="135"/>
      <c r="I84" s="112">
        <v>3</v>
      </c>
      <c r="J84" s="253">
        <v>3500</v>
      </c>
      <c r="K84" s="118">
        <f>I84*J84</f>
        <v>10500</v>
      </c>
    </row>
    <row r="85" spans="1:11">
      <c r="A85" s="122"/>
      <c r="B85" s="252"/>
      <c r="C85" s="112"/>
      <c r="D85" s="113"/>
      <c r="E85" s="113"/>
      <c r="F85" s="113"/>
      <c r="G85" s="113"/>
      <c r="H85" s="135"/>
      <c r="I85" s="113"/>
      <c r="J85" s="253"/>
      <c r="K85" s="118"/>
    </row>
    <row r="86" spans="1:11" ht="25.5">
      <c r="A86" s="122">
        <v>4.1399999999999997</v>
      </c>
      <c r="B86" s="252" t="s">
        <v>441</v>
      </c>
      <c r="C86" s="112" t="s">
        <v>11</v>
      </c>
      <c r="D86" s="113"/>
      <c r="E86" s="113"/>
      <c r="F86" s="113"/>
      <c r="G86" s="113"/>
      <c r="H86" s="135"/>
      <c r="I86" s="112">
        <v>2</v>
      </c>
      <c r="J86" s="253">
        <v>2250</v>
      </c>
      <c r="K86" s="118">
        <f>I86*J86</f>
        <v>4500</v>
      </c>
    </row>
    <row r="87" spans="1:11">
      <c r="A87" s="119"/>
      <c r="B87" s="123"/>
      <c r="C87" s="112"/>
      <c r="D87" s="113"/>
      <c r="E87" s="113"/>
      <c r="F87" s="113"/>
      <c r="G87" s="113"/>
      <c r="H87" s="113"/>
      <c r="I87" s="113"/>
      <c r="J87" s="117"/>
      <c r="K87" s="118"/>
    </row>
    <row r="88" spans="1:11">
      <c r="A88" s="119">
        <v>4.2</v>
      </c>
      <c r="B88" s="136" t="s">
        <v>82</v>
      </c>
      <c r="C88" s="112"/>
      <c r="D88" s="113"/>
      <c r="E88" s="113"/>
      <c r="F88" s="113"/>
      <c r="G88" s="113"/>
      <c r="H88" s="113"/>
      <c r="I88" s="113"/>
      <c r="J88" s="117"/>
      <c r="K88" s="118"/>
    </row>
    <row r="89" spans="1:11">
      <c r="A89" s="119"/>
      <c r="B89" s="136"/>
      <c r="C89" s="112"/>
      <c r="D89" s="113"/>
      <c r="E89" s="113"/>
      <c r="F89" s="113"/>
      <c r="G89" s="113"/>
      <c r="H89" s="113"/>
      <c r="I89" s="113"/>
      <c r="J89" s="117"/>
      <c r="K89" s="118"/>
    </row>
    <row r="90" spans="1:11">
      <c r="A90" s="122">
        <v>4.21</v>
      </c>
      <c r="B90" s="129" t="s">
        <v>45</v>
      </c>
      <c r="C90" s="112" t="s">
        <v>38</v>
      </c>
      <c r="D90" s="113"/>
      <c r="E90" s="113"/>
      <c r="F90" s="113"/>
      <c r="G90" s="113"/>
      <c r="H90" s="113"/>
      <c r="I90" s="434">
        <v>656.33629072824806</v>
      </c>
      <c r="J90" s="117">
        <v>150</v>
      </c>
      <c r="K90" s="118">
        <f>I90*J90</f>
        <v>98450.443609237205</v>
      </c>
    </row>
    <row r="91" spans="1:11">
      <c r="A91" s="122"/>
      <c r="B91" s="129"/>
      <c r="C91" s="112"/>
      <c r="D91" s="113"/>
      <c r="E91" s="113"/>
      <c r="F91" s="113"/>
      <c r="G91" s="113"/>
      <c r="H91" s="113"/>
      <c r="I91" s="113"/>
      <c r="J91" s="117"/>
      <c r="K91" s="118"/>
    </row>
    <row r="92" spans="1:11">
      <c r="A92" s="119">
        <v>4.3</v>
      </c>
      <c r="B92" s="136" t="s">
        <v>39</v>
      </c>
      <c r="C92" s="112"/>
      <c r="D92" s="125"/>
      <c r="E92" s="125"/>
      <c r="F92" s="125"/>
      <c r="G92" s="125"/>
      <c r="H92" s="125"/>
      <c r="I92" s="113"/>
      <c r="J92" s="125"/>
      <c r="K92" s="118"/>
    </row>
    <row r="93" spans="1:11">
      <c r="A93" s="122"/>
      <c r="B93" s="71"/>
      <c r="C93" s="79"/>
      <c r="D93" s="113"/>
      <c r="E93" s="113"/>
      <c r="F93" s="113"/>
      <c r="G93" s="113"/>
      <c r="H93" s="113"/>
      <c r="I93" s="113"/>
      <c r="J93" s="117"/>
      <c r="K93" s="118"/>
    </row>
    <row r="94" spans="1:11" ht="25.5">
      <c r="A94" s="122"/>
      <c r="B94" s="129" t="s">
        <v>40</v>
      </c>
      <c r="C94" s="130"/>
      <c r="D94" s="113"/>
      <c r="E94" s="113"/>
      <c r="F94" s="113"/>
      <c r="G94" s="113"/>
      <c r="H94" s="113"/>
      <c r="I94" s="113"/>
      <c r="J94" s="117"/>
      <c r="K94" s="118"/>
    </row>
    <row r="95" spans="1:11">
      <c r="A95" s="122"/>
      <c r="B95" s="129"/>
      <c r="C95" s="130"/>
      <c r="D95" s="113"/>
      <c r="E95" s="113"/>
      <c r="F95" s="113"/>
      <c r="G95" s="113"/>
      <c r="H95" s="113"/>
      <c r="I95" s="113"/>
      <c r="J95" s="117"/>
      <c r="K95" s="118"/>
    </row>
    <row r="96" spans="1:11">
      <c r="A96" s="122">
        <v>4.3099999999999996</v>
      </c>
      <c r="B96" s="129" t="s">
        <v>53</v>
      </c>
      <c r="C96" s="130"/>
      <c r="D96" s="113"/>
      <c r="E96" s="113"/>
      <c r="F96" s="113"/>
      <c r="G96" s="113"/>
      <c r="H96" s="113"/>
      <c r="I96" s="113"/>
      <c r="J96" s="117"/>
      <c r="K96" s="118"/>
    </row>
    <row r="97" spans="1:12">
      <c r="A97" s="122"/>
      <c r="B97" s="129"/>
      <c r="C97" s="130"/>
      <c r="D97" s="113"/>
      <c r="E97" s="113"/>
      <c r="F97" s="113"/>
      <c r="G97" s="113"/>
      <c r="H97" s="113"/>
      <c r="I97" s="113"/>
      <c r="J97" s="117"/>
      <c r="K97" s="118"/>
    </row>
    <row r="98" spans="1:12" ht="15.75">
      <c r="A98" s="358">
        <v>4.3109999999999999</v>
      </c>
      <c r="B98" s="129" t="s">
        <v>51</v>
      </c>
      <c r="C98" s="130" t="s">
        <v>37</v>
      </c>
      <c r="D98" s="113">
        <f>D6</f>
        <v>8.1</v>
      </c>
      <c r="E98" s="113">
        <f>E6</f>
        <v>3.9</v>
      </c>
      <c r="F98" s="113"/>
      <c r="G98" s="113"/>
      <c r="H98" s="113"/>
      <c r="I98" s="434">
        <f>D98*E98</f>
        <v>31.589999999999996</v>
      </c>
      <c r="J98" s="117">
        <v>500</v>
      </c>
      <c r="K98" s="118">
        <f>I98*J98</f>
        <v>15794.999999999998</v>
      </c>
    </row>
    <row r="99" spans="1:12">
      <c r="A99" s="358"/>
      <c r="B99" s="129"/>
      <c r="C99" s="130"/>
      <c r="D99" s="113"/>
      <c r="E99" s="113"/>
      <c r="F99" s="113"/>
      <c r="G99" s="113"/>
      <c r="H99" s="113"/>
      <c r="I99" s="113"/>
      <c r="J99" s="117"/>
      <c r="K99" s="118"/>
    </row>
    <row r="100" spans="1:12" ht="15.75">
      <c r="A100" s="358">
        <v>4.3120000000000003</v>
      </c>
      <c r="B100" s="129" t="s">
        <v>218</v>
      </c>
      <c r="C100" s="130" t="s">
        <v>37</v>
      </c>
      <c r="D100" s="113">
        <f>D6</f>
        <v>8.1</v>
      </c>
      <c r="E100" s="113">
        <f>E6</f>
        <v>3.9</v>
      </c>
      <c r="F100" s="113"/>
      <c r="G100" s="113"/>
      <c r="H100" s="113"/>
      <c r="I100" s="436">
        <f>(D100*2)+(E100*2)</f>
        <v>24</v>
      </c>
      <c r="J100" s="117">
        <v>250</v>
      </c>
      <c r="K100" s="118">
        <f>I100*J100</f>
        <v>6000</v>
      </c>
    </row>
    <row r="101" spans="1:12" ht="15.75" customHeight="1">
      <c r="A101" s="122"/>
      <c r="B101" s="129"/>
      <c r="C101" s="130"/>
      <c r="D101" s="113"/>
      <c r="E101" s="113"/>
      <c r="F101" s="113"/>
      <c r="G101" s="113"/>
      <c r="H101" s="247"/>
      <c r="I101" s="113"/>
      <c r="J101" s="117"/>
      <c r="K101" s="118"/>
    </row>
    <row r="102" spans="1:12">
      <c r="A102" s="122">
        <v>4.32</v>
      </c>
      <c r="B102" s="129" t="s">
        <v>54</v>
      </c>
      <c r="C102" s="79"/>
      <c r="D102" s="125"/>
      <c r="E102" s="125"/>
      <c r="F102" s="125"/>
      <c r="G102" s="125"/>
      <c r="H102" s="125"/>
      <c r="I102" s="113"/>
      <c r="J102" s="125"/>
      <c r="K102" s="118"/>
    </row>
    <row r="103" spans="1:12">
      <c r="A103" s="122"/>
      <c r="B103" s="129"/>
      <c r="C103" s="79"/>
      <c r="D103" s="113"/>
      <c r="E103" s="113"/>
      <c r="F103" s="113"/>
      <c r="G103" s="113"/>
      <c r="H103" s="113"/>
      <c r="I103" s="113"/>
      <c r="J103" s="117"/>
      <c r="K103" s="118"/>
    </row>
    <row r="104" spans="1:12">
      <c r="A104" s="358">
        <v>4.3209999999999997</v>
      </c>
      <c r="B104" s="129" t="s">
        <v>197</v>
      </c>
      <c r="C104" s="130" t="s">
        <v>3</v>
      </c>
      <c r="D104" s="113">
        <f>(2*D6)+(2*E6)</f>
        <v>24</v>
      </c>
      <c r="E104" s="113">
        <f>(2*(D6-0.4))+(4*(E6-0.4))</f>
        <v>29.4</v>
      </c>
      <c r="F104" s="113"/>
      <c r="G104" s="113"/>
      <c r="H104" s="245" t="s">
        <v>216</v>
      </c>
      <c r="I104" s="434">
        <f>SUM(D104:E104)</f>
        <v>53.4</v>
      </c>
      <c r="J104" s="117">
        <v>250</v>
      </c>
      <c r="K104" s="118">
        <f>I104*J104</f>
        <v>13350</v>
      </c>
    </row>
    <row r="105" spans="1:12" ht="18.75" customHeight="1">
      <c r="A105" s="122"/>
      <c r="B105" s="129"/>
      <c r="C105" s="130"/>
      <c r="D105" s="113"/>
      <c r="E105" s="113"/>
      <c r="F105" s="113"/>
      <c r="G105" s="113"/>
      <c r="H105" s="247"/>
      <c r="I105" s="113"/>
      <c r="J105" s="117"/>
      <c r="K105" s="118"/>
    </row>
    <row r="106" spans="1:12" s="154" customFormat="1" ht="15">
      <c r="A106" s="487" t="s">
        <v>104</v>
      </c>
      <c r="B106" s="488"/>
      <c r="C106" s="488"/>
      <c r="D106" s="488"/>
      <c r="E106" s="488"/>
      <c r="F106" s="488"/>
      <c r="G106" s="488"/>
      <c r="H106" s="488"/>
      <c r="I106" s="488"/>
      <c r="J106" s="489"/>
      <c r="K106" s="349">
        <f>SUM(K75:K105)</f>
        <v>245973.32860923721</v>
      </c>
      <c r="L106" s="351"/>
    </row>
    <row r="107" spans="1:12">
      <c r="A107" s="119">
        <v>5</v>
      </c>
      <c r="B107" s="136" t="s">
        <v>14</v>
      </c>
      <c r="C107" s="112"/>
      <c r="D107" s="125"/>
      <c r="E107" s="125"/>
      <c r="F107" s="125"/>
      <c r="G107" s="125"/>
      <c r="H107" s="125"/>
      <c r="I107" s="113"/>
      <c r="J107" s="125"/>
      <c r="K107" s="118"/>
    </row>
    <row r="108" spans="1:12">
      <c r="A108" s="119"/>
      <c r="B108" s="123"/>
      <c r="C108" s="112"/>
      <c r="D108" s="113"/>
      <c r="E108" s="113"/>
      <c r="F108" s="113"/>
      <c r="G108" s="113"/>
      <c r="H108" s="113"/>
      <c r="I108" s="113"/>
      <c r="J108" s="117"/>
      <c r="K108" s="118"/>
    </row>
    <row r="109" spans="1:12">
      <c r="A109" s="119">
        <v>5.0999999999999996</v>
      </c>
      <c r="B109" s="136" t="s">
        <v>88</v>
      </c>
      <c r="C109" s="112"/>
      <c r="D109" s="113"/>
      <c r="E109" s="113"/>
      <c r="F109" s="113"/>
      <c r="G109" s="113"/>
      <c r="H109" s="113"/>
      <c r="I109" s="113"/>
      <c r="J109" s="117"/>
      <c r="K109" s="118"/>
    </row>
    <row r="110" spans="1:12" ht="15">
      <c r="A110" s="110"/>
      <c r="B110" s="114"/>
      <c r="C110" s="112"/>
      <c r="D110" s="113"/>
      <c r="E110" s="113"/>
      <c r="F110" s="113"/>
      <c r="G110" s="113"/>
      <c r="H110" s="113"/>
      <c r="I110" s="117"/>
      <c r="J110" s="117"/>
      <c r="K110" s="118"/>
    </row>
    <row r="111" spans="1:12" ht="39.75" customHeight="1">
      <c r="A111" s="119"/>
      <c r="B111" s="123" t="s">
        <v>210</v>
      </c>
      <c r="C111" s="112"/>
      <c r="D111" s="113"/>
      <c r="E111" s="113"/>
      <c r="F111" s="113"/>
      <c r="G111" s="113"/>
      <c r="H111" s="113"/>
      <c r="I111" s="113"/>
      <c r="J111" s="117"/>
      <c r="K111" s="118"/>
    </row>
    <row r="112" spans="1:12" ht="15.75" customHeight="1">
      <c r="A112" s="119"/>
      <c r="B112" s="123"/>
      <c r="C112" s="112"/>
      <c r="D112" s="113"/>
      <c r="E112" s="113"/>
      <c r="F112" s="113"/>
      <c r="G112" s="113"/>
      <c r="H112" s="113"/>
      <c r="I112" s="113"/>
      <c r="J112" s="117"/>
      <c r="K112" s="118"/>
    </row>
    <row r="113" spans="1:13" ht="27" customHeight="1">
      <c r="A113" s="122">
        <v>5.1100000000000003</v>
      </c>
      <c r="B113" s="123" t="s">
        <v>361</v>
      </c>
      <c r="C113" s="112" t="s">
        <v>3</v>
      </c>
      <c r="D113" s="113">
        <v>0.9</v>
      </c>
      <c r="E113" s="113">
        <v>0.5</v>
      </c>
      <c r="F113" s="113"/>
      <c r="G113" s="113"/>
      <c r="H113" s="113"/>
      <c r="I113" s="434">
        <f>(D113*2)+(E113*2)</f>
        <v>2.8</v>
      </c>
      <c r="J113" s="117">
        <v>300</v>
      </c>
      <c r="K113" s="118">
        <f>I113*J113</f>
        <v>840</v>
      </c>
    </row>
    <row r="114" spans="1:13">
      <c r="A114" s="122"/>
      <c r="B114" s="123"/>
      <c r="C114" s="112"/>
      <c r="D114" s="125"/>
      <c r="E114" s="125"/>
      <c r="F114" s="125"/>
      <c r="G114" s="125"/>
      <c r="H114" s="125"/>
      <c r="I114" s="113"/>
      <c r="J114" s="125"/>
      <c r="K114" s="118"/>
    </row>
    <row r="115" spans="1:13" ht="44.25" customHeight="1">
      <c r="A115" s="122">
        <v>5.12</v>
      </c>
      <c r="B115" s="123" t="s">
        <v>223</v>
      </c>
      <c r="C115" s="112" t="s">
        <v>11</v>
      </c>
      <c r="D115" s="125"/>
      <c r="E115" s="125"/>
      <c r="F115" s="125"/>
      <c r="G115" s="125"/>
      <c r="H115" s="255"/>
      <c r="I115" s="112">
        <v>1</v>
      </c>
      <c r="J115" s="272">
        <v>3000</v>
      </c>
      <c r="K115" s="118">
        <f>I115*J115</f>
        <v>3000</v>
      </c>
      <c r="L115" s="348"/>
      <c r="M115" s="348"/>
    </row>
    <row r="116" spans="1:13">
      <c r="A116" s="119"/>
      <c r="B116" s="244"/>
      <c r="C116" s="112"/>
      <c r="D116" s="125"/>
      <c r="E116" s="125"/>
      <c r="F116" s="125"/>
      <c r="G116" s="125"/>
      <c r="H116" s="125"/>
      <c r="I116" s="113"/>
      <c r="J116" s="125"/>
      <c r="K116" s="118"/>
    </row>
    <row r="117" spans="1:13">
      <c r="A117" s="119">
        <v>5.2</v>
      </c>
      <c r="B117" s="137" t="s">
        <v>86</v>
      </c>
      <c r="C117" s="112"/>
      <c r="D117" s="125"/>
      <c r="E117" s="125"/>
      <c r="F117" s="125"/>
      <c r="G117" s="125"/>
      <c r="H117" s="125"/>
      <c r="I117" s="113"/>
      <c r="J117" s="125"/>
      <c r="K117" s="118"/>
    </row>
    <row r="118" spans="1:13">
      <c r="A118" s="119"/>
      <c r="B118" s="137"/>
      <c r="C118" s="112"/>
      <c r="D118" s="125"/>
      <c r="E118" s="125"/>
      <c r="F118" s="125"/>
      <c r="G118" s="125"/>
      <c r="H118" s="125"/>
      <c r="I118" s="113"/>
      <c r="J118" s="125"/>
      <c r="K118" s="118"/>
    </row>
    <row r="119" spans="1:13" s="11" customFormat="1" ht="38.25">
      <c r="A119" s="122">
        <v>5.21</v>
      </c>
      <c r="B119" s="123" t="s">
        <v>427</v>
      </c>
      <c r="C119" s="112" t="s">
        <v>11</v>
      </c>
      <c r="D119" s="246"/>
      <c r="E119" s="246"/>
      <c r="F119" s="246"/>
      <c r="G119" s="246"/>
      <c r="H119" s="246"/>
      <c r="I119" s="112">
        <v>2</v>
      </c>
      <c r="J119" s="117">
        <v>300</v>
      </c>
      <c r="K119" s="118">
        <f>I119*J119</f>
        <v>600</v>
      </c>
    </row>
    <row r="120" spans="1:13" s="11" customFormat="1">
      <c r="A120" s="122"/>
      <c r="B120" s="123"/>
      <c r="C120" s="112"/>
      <c r="D120" s="246"/>
      <c r="E120" s="246"/>
      <c r="F120" s="246"/>
      <c r="G120" s="246"/>
      <c r="H120" s="246"/>
      <c r="I120" s="112"/>
      <c r="J120" s="117"/>
      <c r="K120" s="118"/>
    </row>
    <row r="121" spans="1:13" ht="25.5">
      <c r="A121" s="122">
        <v>5.22</v>
      </c>
      <c r="B121" s="244" t="s">
        <v>362</v>
      </c>
      <c r="C121" s="112" t="s">
        <v>11</v>
      </c>
      <c r="D121" s="125"/>
      <c r="E121" s="125"/>
      <c r="F121" s="125"/>
      <c r="G121" s="125"/>
      <c r="H121" s="125"/>
      <c r="I121" s="112">
        <v>2</v>
      </c>
      <c r="J121" s="117">
        <v>400</v>
      </c>
      <c r="K121" s="118">
        <f>I121*J121</f>
        <v>800</v>
      </c>
    </row>
    <row r="122" spans="1:13">
      <c r="A122" s="8"/>
      <c r="B122" s="244"/>
      <c r="C122" s="112"/>
      <c r="D122" s="125"/>
      <c r="E122" s="125"/>
      <c r="F122" s="125"/>
      <c r="G122" s="125"/>
      <c r="H122" s="125"/>
      <c r="I122" s="113"/>
      <c r="J122" s="117"/>
      <c r="K122" s="118"/>
    </row>
    <row r="123" spans="1:13">
      <c r="A123" s="119">
        <v>5.3</v>
      </c>
      <c r="B123" s="136" t="s">
        <v>87</v>
      </c>
      <c r="C123" s="112"/>
      <c r="D123" s="125"/>
      <c r="E123" s="125"/>
      <c r="F123" s="125"/>
      <c r="G123" s="125"/>
      <c r="H123" s="125"/>
      <c r="I123" s="113"/>
      <c r="J123" s="117"/>
      <c r="K123" s="118"/>
    </row>
    <row r="124" spans="1:13">
      <c r="A124" s="122"/>
      <c r="B124" s="138"/>
      <c r="C124" s="112"/>
      <c r="D124" s="125"/>
      <c r="E124" s="125"/>
      <c r="F124" s="125"/>
      <c r="G124" s="125"/>
      <c r="H124" s="125"/>
      <c r="I124" s="113"/>
      <c r="J124" s="117"/>
      <c r="K124" s="118"/>
    </row>
    <row r="125" spans="1:13" ht="63.75">
      <c r="A125" s="122"/>
      <c r="B125" s="129" t="s">
        <v>211</v>
      </c>
      <c r="C125" s="112"/>
      <c r="D125" s="125"/>
      <c r="E125" s="125"/>
      <c r="F125" s="125"/>
      <c r="G125" s="125"/>
      <c r="H125" s="125"/>
      <c r="I125" s="113"/>
      <c r="J125" s="117"/>
      <c r="K125" s="118"/>
    </row>
    <row r="126" spans="1:13">
      <c r="A126" s="122"/>
      <c r="B126" s="123"/>
      <c r="C126" s="112"/>
      <c r="D126" s="125"/>
      <c r="E126" s="125"/>
      <c r="F126" s="125"/>
      <c r="G126" s="125"/>
      <c r="H126" s="125"/>
      <c r="I126" s="113"/>
      <c r="J126" s="117"/>
      <c r="K126" s="118"/>
    </row>
    <row r="127" spans="1:13">
      <c r="A127" s="122"/>
      <c r="B127" s="129" t="s">
        <v>152</v>
      </c>
      <c r="C127" s="112"/>
      <c r="D127" s="125"/>
      <c r="E127" s="125"/>
      <c r="F127" s="125"/>
      <c r="G127" s="125"/>
      <c r="H127" s="125"/>
      <c r="I127" s="113"/>
      <c r="J127" s="117"/>
      <c r="K127" s="118"/>
    </row>
    <row r="128" spans="1:13">
      <c r="A128" s="122"/>
      <c r="B128" s="138"/>
      <c r="C128" s="112"/>
      <c r="D128" s="125"/>
      <c r="E128" s="125"/>
      <c r="F128" s="125"/>
      <c r="G128" s="125"/>
      <c r="H128" s="125"/>
      <c r="I128" s="113"/>
      <c r="J128" s="117"/>
      <c r="K128" s="118"/>
    </row>
    <row r="129" spans="1:13" ht="25.5">
      <c r="A129" s="399">
        <v>5.31</v>
      </c>
      <c r="B129" s="406" t="s">
        <v>465</v>
      </c>
      <c r="C129" s="410" t="s">
        <v>3</v>
      </c>
      <c r="D129" s="414"/>
      <c r="E129" s="414"/>
      <c r="F129" s="414"/>
      <c r="G129" s="414"/>
      <c r="H129" s="414" t="s">
        <v>59</v>
      </c>
      <c r="I129" s="410">
        <v>15</v>
      </c>
      <c r="J129" s="411">
        <v>500</v>
      </c>
      <c r="K129" s="404">
        <f>I129*J129</f>
        <v>7500</v>
      </c>
      <c r="M129" s="242"/>
    </row>
    <row r="130" spans="1:13" s="11" customFormat="1">
      <c r="A130" s="119"/>
      <c r="B130" s="129"/>
      <c r="C130" s="79"/>
      <c r="D130" s="113"/>
      <c r="E130" s="113"/>
      <c r="F130" s="113"/>
      <c r="G130" s="113"/>
      <c r="H130" s="113"/>
      <c r="I130" s="112"/>
      <c r="J130" s="117"/>
      <c r="K130" s="118"/>
    </row>
    <row r="131" spans="1:13" s="154" customFormat="1" ht="15">
      <c r="A131" s="487" t="s">
        <v>105</v>
      </c>
      <c r="B131" s="488"/>
      <c r="C131" s="488"/>
      <c r="D131" s="488"/>
      <c r="E131" s="488"/>
      <c r="F131" s="488"/>
      <c r="G131" s="488"/>
      <c r="H131" s="488"/>
      <c r="I131" s="488"/>
      <c r="J131" s="489"/>
      <c r="K131" s="240">
        <f>SUM(K107:K130)</f>
        <v>12740</v>
      </c>
    </row>
    <row r="132" spans="1:13" s="11" customFormat="1">
      <c r="A132" s="119">
        <v>6</v>
      </c>
      <c r="B132" s="136" t="s">
        <v>110</v>
      </c>
      <c r="C132" s="112"/>
      <c r="D132" s="246"/>
      <c r="E132" s="246"/>
      <c r="F132" s="246"/>
      <c r="G132" s="246"/>
      <c r="H132" s="246"/>
      <c r="I132" s="112"/>
      <c r="J132" s="117"/>
      <c r="K132" s="118"/>
    </row>
    <row r="133" spans="1:13" s="11" customFormat="1">
      <c r="A133" s="119"/>
      <c r="B133" s="136"/>
      <c r="C133" s="112"/>
      <c r="D133" s="246"/>
      <c r="E133" s="246"/>
      <c r="F133" s="246"/>
      <c r="G133" s="246"/>
      <c r="H133" s="246"/>
      <c r="I133" s="112"/>
      <c r="J133" s="117"/>
      <c r="K133" s="118"/>
    </row>
    <row r="134" spans="1:13" s="11" customFormat="1" ht="25.5">
      <c r="A134" s="122">
        <v>6.1</v>
      </c>
      <c r="B134" s="129" t="s">
        <v>442</v>
      </c>
      <c r="C134" s="112" t="s">
        <v>11</v>
      </c>
      <c r="D134" s="246"/>
      <c r="E134" s="246"/>
      <c r="F134" s="246"/>
      <c r="G134" s="246"/>
      <c r="H134" s="246"/>
      <c r="I134" s="112">
        <v>27</v>
      </c>
      <c r="J134" s="117">
        <v>1200</v>
      </c>
      <c r="K134" s="118">
        <f>I134*J134</f>
        <v>32400</v>
      </c>
    </row>
    <row r="135" spans="1:13" s="11" customFormat="1">
      <c r="A135" s="122"/>
      <c r="B135" s="129"/>
      <c r="C135" s="112"/>
      <c r="D135" s="246"/>
      <c r="E135" s="246"/>
      <c r="F135" s="246"/>
      <c r="G135" s="246"/>
      <c r="H135" s="246"/>
      <c r="I135" s="376"/>
      <c r="J135" s="117"/>
      <c r="K135" s="118"/>
    </row>
    <row r="136" spans="1:13" s="11" customFormat="1" ht="25.5">
      <c r="A136" s="122">
        <v>6.2</v>
      </c>
      <c r="B136" s="129" t="s">
        <v>237</v>
      </c>
      <c r="C136" s="112" t="s">
        <v>11</v>
      </c>
      <c r="D136" s="246"/>
      <c r="E136" s="246"/>
      <c r="F136" s="246"/>
      <c r="G136" s="246"/>
      <c r="H136" s="246"/>
      <c r="I136" s="112">
        <v>3</v>
      </c>
      <c r="J136" s="117">
        <v>1000</v>
      </c>
      <c r="K136" s="118">
        <f>I136*J136</f>
        <v>3000</v>
      </c>
    </row>
    <row r="137" spans="1:13" s="11" customFormat="1">
      <c r="A137" s="119"/>
      <c r="B137" s="123"/>
      <c r="C137" s="112"/>
      <c r="D137" s="246"/>
      <c r="E137" s="246"/>
      <c r="F137" s="246"/>
      <c r="G137" s="246"/>
      <c r="H137" s="246"/>
      <c r="I137" s="112"/>
      <c r="J137" s="117"/>
      <c r="K137" s="118"/>
    </row>
    <row r="138" spans="1:13" s="154" customFormat="1" ht="15">
      <c r="A138" s="487" t="s">
        <v>106</v>
      </c>
      <c r="B138" s="488"/>
      <c r="C138" s="488"/>
      <c r="D138" s="488"/>
      <c r="E138" s="488"/>
      <c r="F138" s="488"/>
      <c r="G138" s="488"/>
      <c r="H138" s="488"/>
      <c r="I138" s="488"/>
      <c r="J138" s="489"/>
      <c r="K138" s="370">
        <f>SUM(K132:K137)</f>
        <v>35400</v>
      </c>
    </row>
    <row r="139" spans="1:13" s="11" customFormat="1" ht="15" customHeight="1">
      <c r="A139" s="502"/>
      <c r="B139" s="503"/>
      <c r="C139" s="503"/>
      <c r="D139" s="503"/>
      <c r="E139" s="503"/>
      <c r="F139" s="503"/>
      <c r="G139" s="503"/>
      <c r="H139" s="503"/>
      <c r="I139" s="503"/>
      <c r="J139" s="503"/>
      <c r="K139" s="504"/>
    </row>
    <row r="140" spans="1:13" ht="14.25" customHeight="1">
      <c r="A140" s="497" t="s">
        <v>108</v>
      </c>
      <c r="B140" s="497"/>
      <c r="C140" s="497"/>
      <c r="D140" s="497"/>
      <c r="E140" s="497"/>
      <c r="F140" s="497"/>
      <c r="G140" s="497"/>
      <c r="H140" s="497"/>
      <c r="I140" s="497"/>
      <c r="J140" s="497"/>
      <c r="K140" s="106">
        <f>+K34+K60+K74+K106+K131+K138</f>
        <v>926031.31029676949</v>
      </c>
    </row>
    <row r="141" spans="1:13" ht="14.25" customHeight="1">
      <c r="A141" s="497" t="s">
        <v>107</v>
      </c>
      <c r="B141" s="497" t="s">
        <v>7</v>
      </c>
      <c r="C141" s="497"/>
      <c r="D141" s="497"/>
      <c r="E141" s="497"/>
      <c r="F141" s="497"/>
      <c r="G141" s="497"/>
      <c r="H141" s="497"/>
      <c r="I141" s="497"/>
      <c r="J141" s="497"/>
      <c r="K141" s="106">
        <f>0.05*K140</f>
        <v>46301.565514838476</v>
      </c>
    </row>
    <row r="142" spans="1:13">
      <c r="A142" s="497" t="s">
        <v>108</v>
      </c>
      <c r="B142" s="497"/>
      <c r="C142" s="497"/>
      <c r="D142" s="497"/>
      <c r="E142" s="497"/>
      <c r="F142" s="497"/>
      <c r="G142" s="497"/>
      <c r="H142" s="497"/>
      <c r="I142" s="497"/>
      <c r="J142" s="497"/>
      <c r="K142" s="106">
        <f>SUM(K140:K141)</f>
        <v>972332.87581160793</v>
      </c>
    </row>
    <row r="143" spans="1:13" ht="43.5" customHeight="1">
      <c r="A143" s="496" t="s">
        <v>222</v>
      </c>
      <c r="B143" s="496"/>
      <c r="C143" s="496"/>
      <c r="D143" s="496"/>
      <c r="E143" s="496"/>
      <c r="F143" s="496"/>
      <c r="G143" s="496"/>
      <c r="H143" s="496"/>
      <c r="I143" s="496"/>
      <c r="J143" s="496"/>
      <c r="K143" s="496"/>
    </row>
    <row r="144" spans="1:13">
      <c r="B144" s="74"/>
    </row>
  </sheetData>
  <mergeCells count="14">
    <mergeCell ref="A1:I1"/>
    <mergeCell ref="A2:I2"/>
    <mergeCell ref="A143:K143"/>
    <mergeCell ref="A140:J140"/>
    <mergeCell ref="A141:J141"/>
    <mergeCell ref="A142:J142"/>
    <mergeCell ref="D3:H3"/>
    <mergeCell ref="A34:J34"/>
    <mergeCell ref="A60:J60"/>
    <mergeCell ref="A74:J74"/>
    <mergeCell ref="A131:J131"/>
    <mergeCell ref="A106:J106"/>
    <mergeCell ref="A139:K139"/>
    <mergeCell ref="A138:J138"/>
  </mergeCells>
  <pageMargins left="0.7" right="0.7" top="0.75" bottom="0.75" header="0.3" footer="0.3"/>
  <pageSetup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0"/>
  <sheetViews>
    <sheetView tabSelected="1" topLeftCell="A126" zoomScale="90" zoomScaleNormal="90" zoomScaleSheetLayoutView="100" workbookViewId="0">
      <selection activeCell="C139" sqref="C139"/>
    </sheetView>
  </sheetViews>
  <sheetFormatPr defaultColWidth="9.140625" defaultRowHeight="14.25"/>
  <cols>
    <col min="1" max="1" width="9.28515625" style="24" customWidth="1"/>
    <col min="2" max="2" width="64.140625" style="77" customWidth="1"/>
    <col min="3" max="3" width="9.7109375" style="68" customWidth="1"/>
    <col min="4" max="5" width="10.7109375" style="11" customWidth="1"/>
    <col min="6" max="6" width="6.85546875" style="11" customWidth="1"/>
    <col min="7" max="7" width="6.28515625" style="11" customWidth="1"/>
    <col min="8" max="8" width="41.42578125" style="11" customWidth="1"/>
    <col min="9" max="9" width="10.7109375" style="68" customWidth="1"/>
    <col min="10" max="10" width="17.28515625" style="68" customWidth="1"/>
    <col min="11" max="11" width="15.5703125" style="11" bestFit="1" customWidth="1"/>
    <col min="12" max="12" width="12" style="8" bestFit="1" customWidth="1"/>
    <col min="13" max="16384" width="9.140625" style="8"/>
  </cols>
  <sheetData>
    <row r="1" spans="1:11" ht="48.75" customHeight="1">
      <c r="A1" s="485" t="s">
        <v>99</v>
      </c>
      <c r="B1" s="486"/>
      <c r="C1" s="486"/>
      <c r="D1" s="486"/>
      <c r="E1" s="486"/>
      <c r="F1" s="486"/>
      <c r="G1" s="486"/>
      <c r="H1" s="486"/>
      <c r="I1" s="486"/>
      <c r="J1" s="150"/>
      <c r="K1" s="151"/>
    </row>
    <row r="2" spans="1:11" ht="14.25" customHeight="1">
      <c r="A2" s="505" t="s">
        <v>60</v>
      </c>
      <c r="B2" s="505"/>
      <c r="C2" s="505"/>
      <c r="D2" s="505"/>
      <c r="E2" s="505"/>
      <c r="F2" s="505"/>
      <c r="G2" s="505"/>
      <c r="H2" s="505"/>
      <c r="I2" s="505"/>
      <c r="J2" s="505"/>
      <c r="K2" s="505"/>
    </row>
    <row r="3" spans="1:11" ht="14.25" customHeight="1">
      <c r="A3" s="160" t="s">
        <v>0</v>
      </c>
      <c r="B3" s="161" t="s">
        <v>1</v>
      </c>
      <c r="C3" s="162" t="s">
        <v>2</v>
      </c>
      <c r="D3" s="501" t="s">
        <v>32</v>
      </c>
      <c r="E3" s="501"/>
      <c r="F3" s="501"/>
      <c r="G3" s="501"/>
      <c r="H3" s="501"/>
      <c r="I3" s="162" t="s">
        <v>98</v>
      </c>
      <c r="J3" s="162" t="s">
        <v>4</v>
      </c>
      <c r="K3" s="162" t="s">
        <v>5</v>
      </c>
    </row>
    <row r="4" spans="1:11" ht="14.25" customHeight="1">
      <c r="A4" s="160"/>
      <c r="B4" s="161"/>
      <c r="C4" s="162"/>
      <c r="D4" s="397"/>
      <c r="E4" s="397"/>
      <c r="F4" s="397"/>
      <c r="G4" s="397"/>
      <c r="H4" s="397"/>
      <c r="I4" s="162"/>
      <c r="J4" s="162"/>
      <c r="K4" s="162"/>
    </row>
    <row r="5" spans="1:11">
      <c r="A5" s="110">
        <v>1</v>
      </c>
      <c r="B5" s="111" t="s">
        <v>8</v>
      </c>
      <c r="C5" s="112"/>
      <c r="D5" s="320">
        <v>6.12</v>
      </c>
      <c r="E5" s="109">
        <v>3.8</v>
      </c>
      <c r="F5" s="109">
        <v>5.72</v>
      </c>
      <c r="G5" s="109">
        <v>3.4</v>
      </c>
      <c r="H5" s="109"/>
      <c r="I5" s="112"/>
      <c r="J5" s="117"/>
      <c r="K5" s="118"/>
    </row>
    <row r="6" spans="1:11" ht="15">
      <c r="A6" s="121"/>
      <c r="B6" s="111"/>
      <c r="C6" s="112"/>
      <c r="D6" s="375">
        <v>2.6</v>
      </c>
      <c r="E6" s="320">
        <v>3.8</v>
      </c>
      <c r="F6" s="320"/>
      <c r="G6" s="320"/>
      <c r="H6" s="113"/>
      <c r="I6" s="112"/>
      <c r="J6" s="117"/>
      <c r="K6" s="118"/>
    </row>
    <row r="7" spans="1:11" ht="38.25">
      <c r="A7" s="122"/>
      <c r="B7" s="123" t="s">
        <v>158</v>
      </c>
      <c r="C7" s="230"/>
      <c r="D7" s="320">
        <v>1.4</v>
      </c>
      <c r="E7" s="320">
        <v>1.2</v>
      </c>
      <c r="F7" s="320"/>
      <c r="G7" s="113"/>
      <c r="H7" s="113"/>
      <c r="I7" s="112"/>
      <c r="J7" s="230"/>
      <c r="K7" s="118"/>
    </row>
    <row r="8" spans="1:11">
      <c r="A8" s="122"/>
      <c r="B8" s="123"/>
      <c r="C8" s="230"/>
      <c r="D8" s="113"/>
      <c r="E8" s="113"/>
      <c r="F8" s="113"/>
      <c r="G8" s="113"/>
      <c r="H8" s="113"/>
      <c r="I8" s="112"/>
      <c r="J8" s="230"/>
      <c r="K8" s="118"/>
    </row>
    <row r="9" spans="1:11">
      <c r="A9" s="110">
        <v>1.1000000000000001</v>
      </c>
      <c r="B9" s="111" t="s">
        <v>178</v>
      </c>
      <c r="C9" s="230"/>
      <c r="D9" s="113"/>
      <c r="E9" s="113"/>
      <c r="F9" s="113"/>
      <c r="G9" s="113"/>
      <c r="H9" s="113"/>
      <c r="I9" s="112"/>
      <c r="J9" s="230"/>
      <c r="K9" s="118"/>
    </row>
    <row r="10" spans="1:11">
      <c r="A10" s="122"/>
      <c r="B10" s="123"/>
      <c r="C10" s="230"/>
      <c r="D10" s="125"/>
      <c r="E10" s="125"/>
      <c r="F10" s="125"/>
      <c r="G10" s="125"/>
      <c r="H10" s="125"/>
      <c r="I10" s="230"/>
      <c r="J10" s="230"/>
      <c r="K10" s="118"/>
    </row>
    <row r="11" spans="1:11" ht="38.25">
      <c r="A11" s="122">
        <v>1.1100000000000001</v>
      </c>
      <c r="B11" s="123" t="s">
        <v>246</v>
      </c>
      <c r="C11" s="230" t="s">
        <v>37</v>
      </c>
      <c r="D11" s="245">
        <f>D5+D6+(2*D7)+0.4</f>
        <v>11.92</v>
      </c>
      <c r="E11" s="113">
        <f>E5+0.4</f>
        <v>4.2</v>
      </c>
      <c r="F11" s="124"/>
      <c r="G11" s="125"/>
      <c r="H11" s="125"/>
      <c r="I11" s="417">
        <f>D11*E11</f>
        <v>50.064</v>
      </c>
      <c r="J11" s="117">
        <v>100</v>
      </c>
      <c r="K11" s="118">
        <f>I11*J11</f>
        <v>5006.3999999999996</v>
      </c>
    </row>
    <row r="12" spans="1:11">
      <c r="A12" s="8"/>
      <c r="B12" s="123"/>
      <c r="C12" s="230"/>
      <c r="D12" s="125"/>
      <c r="E12" s="125"/>
      <c r="F12" s="125"/>
      <c r="G12" s="125"/>
      <c r="H12" s="125"/>
      <c r="I12" s="124"/>
      <c r="J12" s="230"/>
      <c r="K12" s="118"/>
    </row>
    <row r="13" spans="1:11">
      <c r="A13" s="110">
        <v>1.2</v>
      </c>
      <c r="B13" s="111" t="s">
        <v>179</v>
      </c>
      <c r="C13" s="230"/>
      <c r="D13" s="125"/>
      <c r="E13" s="125"/>
      <c r="F13" s="125"/>
      <c r="G13" s="125"/>
      <c r="H13" s="125"/>
      <c r="I13" s="124"/>
      <c r="J13" s="230"/>
      <c r="K13" s="118"/>
    </row>
    <row r="14" spans="1:11">
      <c r="A14" s="8"/>
      <c r="B14" s="123"/>
      <c r="C14" s="230"/>
      <c r="D14" s="125"/>
      <c r="E14" s="125"/>
      <c r="F14" s="125"/>
      <c r="G14" s="125"/>
      <c r="H14" s="125"/>
      <c r="I14" s="124"/>
      <c r="J14" s="230"/>
      <c r="K14" s="118"/>
    </row>
    <row r="15" spans="1:11" ht="38.25">
      <c r="A15" s="122"/>
      <c r="B15" s="123" t="s">
        <v>349</v>
      </c>
      <c r="C15" s="230"/>
      <c r="D15" s="125"/>
      <c r="E15" s="125"/>
      <c r="F15" s="125"/>
      <c r="G15" s="125"/>
      <c r="H15" s="125"/>
      <c r="I15" s="124"/>
      <c r="J15" s="230"/>
      <c r="K15" s="118"/>
    </row>
    <row r="16" spans="1:11">
      <c r="A16" s="122"/>
      <c r="B16" s="123"/>
      <c r="C16" s="230"/>
      <c r="D16" s="125"/>
      <c r="E16" s="125"/>
      <c r="F16" s="125"/>
      <c r="G16" s="125"/>
      <c r="H16" s="125"/>
      <c r="I16" s="124"/>
      <c r="J16" s="230"/>
      <c r="K16" s="118"/>
    </row>
    <row r="17" spans="1:11" ht="15.75">
      <c r="A17" s="399">
        <v>1.21</v>
      </c>
      <c r="B17" s="400" t="s">
        <v>43</v>
      </c>
      <c r="C17" s="424" t="s">
        <v>34</v>
      </c>
      <c r="D17" s="412">
        <f>D5+D6+0.6</f>
        <v>9.32</v>
      </c>
      <c r="E17" s="412">
        <f>E5+0.6</f>
        <v>4.3999999999999995</v>
      </c>
      <c r="F17" s="412">
        <f>D7*E7*2</f>
        <v>3.36</v>
      </c>
      <c r="G17" s="414"/>
      <c r="H17" s="414"/>
      <c r="I17" s="425">
        <f>(D17*E17)+F17</f>
        <v>44.367999999999995</v>
      </c>
      <c r="J17" s="411">
        <v>250</v>
      </c>
      <c r="K17" s="404">
        <f>I17*J17</f>
        <v>11091.999999999998</v>
      </c>
    </row>
    <row r="18" spans="1:11" ht="15.75" customHeight="1">
      <c r="A18" s="122"/>
      <c r="B18" s="123"/>
      <c r="C18" s="230"/>
      <c r="D18" s="125"/>
      <c r="E18" s="113"/>
      <c r="F18" s="113"/>
      <c r="G18" s="125"/>
      <c r="H18" s="125"/>
      <c r="I18" s="124"/>
      <c r="J18" s="230"/>
      <c r="K18" s="118"/>
    </row>
    <row r="19" spans="1:11" ht="15.75">
      <c r="A19" s="399">
        <v>1.22</v>
      </c>
      <c r="B19" s="400" t="s">
        <v>164</v>
      </c>
      <c r="C19" s="424" t="s">
        <v>34</v>
      </c>
      <c r="D19" s="426">
        <f>D5+0.6</f>
        <v>6.72</v>
      </c>
      <c r="E19" s="412">
        <f>E5+0.6</f>
        <v>4.3999999999999995</v>
      </c>
      <c r="F19" s="412">
        <v>1</v>
      </c>
      <c r="G19" s="414"/>
      <c r="H19" s="414"/>
      <c r="I19" s="425">
        <f>D19*E19*F19</f>
        <v>29.567999999999994</v>
      </c>
      <c r="J19" s="411">
        <v>300</v>
      </c>
      <c r="K19" s="404">
        <f>I19*J19</f>
        <v>8870.3999999999978</v>
      </c>
    </row>
    <row r="20" spans="1:11" ht="17.25" customHeight="1">
      <c r="A20" s="164"/>
      <c r="B20" s="123"/>
      <c r="C20" s="230"/>
      <c r="D20" s="126"/>
      <c r="E20" s="113"/>
      <c r="F20" s="113"/>
      <c r="G20" s="125"/>
      <c r="H20" s="125"/>
      <c r="I20" s="124"/>
      <c r="J20" s="124"/>
      <c r="K20" s="118"/>
    </row>
    <row r="21" spans="1:11" ht="15.75">
      <c r="A21" s="399">
        <v>1.23</v>
      </c>
      <c r="B21" s="400" t="s">
        <v>162</v>
      </c>
      <c r="C21" s="424" t="s">
        <v>34</v>
      </c>
      <c r="D21" s="426">
        <f>D5+0.6</f>
        <v>6.72</v>
      </c>
      <c r="E21" s="412">
        <f>E5+0.6</f>
        <v>4.3999999999999995</v>
      </c>
      <c r="F21" s="412">
        <v>0.3</v>
      </c>
      <c r="G21" s="414"/>
      <c r="H21" s="414"/>
      <c r="I21" s="425">
        <f>D21*E21*F21</f>
        <v>8.8703999999999983</v>
      </c>
      <c r="J21" s="411">
        <v>400</v>
      </c>
      <c r="K21" s="404">
        <f>I21*J21</f>
        <v>3548.1599999999994</v>
      </c>
    </row>
    <row r="22" spans="1:11">
      <c r="A22" s="122"/>
      <c r="B22" s="123"/>
      <c r="C22" s="230"/>
      <c r="D22" s="125"/>
      <c r="E22" s="125"/>
      <c r="F22" s="125"/>
      <c r="G22" s="125"/>
      <c r="H22" s="125"/>
      <c r="I22" s="124"/>
      <c r="J22" s="230"/>
      <c r="K22" s="118"/>
    </row>
    <row r="23" spans="1:11" ht="38.25">
      <c r="A23" s="127">
        <v>1.24</v>
      </c>
      <c r="B23" s="123" t="s">
        <v>363</v>
      </c>
      <c r="C23" s="230" t="s">
        <v>34</v>
      </c>
      <c r="D23" s="125"/>
      <c r="E23" s="125"/>
      <c r="F23" s="125"/>
      <c r="G23" s="125"/>
      <c r="H23" s="255" t="s">
        <v>120</v>
      </c>
      <c r="I23" s="419">
        <f>I11*0.25+(30%*(SUM(I17:I21)))</f>
        <v>37.35792</v>
      </c>
      <c r="J23" s="117">
        <v>350</v>
      </c>
      <c r="K23" s="118">
        <f>I23*J23</f>
        <v>13075.272000000001</v>
      </c>
    </row>
    <row r="24" spans="1:11">
      <c r="A24" s="122"/>
      <c r="B24" s="123"/>
      <c r="C24" s="230"/>
      <c r="D24" s="125"/>
      <c r="E24" s="125"/>
      <c r="F24" s="125"/>
      <c r="G24" s="125"/>
      <c r="H24" s="125"/>
      <c r="I24" s="230"/>
      <c r="J24" s="230"/>
      <c r="K24" s="118"/>
    </row>
    <row r="25" spans="1:11" ht="38.25">
      <c r="A25" s="405">
        <v>1.25</v>
      </c>
      <c r="B25" s="406" t="s">
        <v>437</v>
      </c>
      <c r="C25" s="410" t="s">
        <v>34</v>
      </c>
      <c r="D25" s="415"/>
      <c r="E25" s="415"/>
      <c r="F25" s="415"/>
      <c r="G25" s="415"/>
      <c r="H25" s="408" t="s">
        <v>204</v>
      </c>
      <c r="I25" s="427">
        <f>60%*(SUM($I17:$I21))</f>
        <v>49.683839999999996</v>
      </c>
      <c r="J25" s="411">
        <v>600</v>
      </c>
      <c r="K25" s="416">
        <f>I25*J25</f>
        <v>29810.303999999996</v>
      </c>
    </row>
    <row r="26" spans="1:11">
      <c r="A26" s="231"/>
      <c r="B26" s="232"/>
      <c r="C26" s="233"/>
      <c r="D26" s="234"/>
      <c r="E26" s="234"/>
      <c r="F26" s="234"/>
      <c r="G26" s="234"/>
      <c r="H26" s="264"/>
      <c r="I26" s="130"/>
      <c r="J26" s="235"/>
      <c r="K26" s="144"/>
    </row>
    <row r="27" spans="1:11" ht="15.75">
      <c r="A27" s="405">
        <v>1.26</v>
      </c>
      <c r="B27" s="406" t="s">
        <v>35</v>
      </c>
      <c r="C27" s="410" t="s">
        <v>34</v>
      </c>
      <c r="D27" s="415"/>
      <c r="E27" s="415"/>
      <c r="F27" s="415"/>
      <c r="G27" s="415"/>
      <c r="H27" s="408" t="s">
        <v>153</v>
      </c>
      <c r="I27" s="428">
        <f>30%*(SUM($I17:$I21))</f>
        <v>24.841919999999998</v>
      </c>
      <c r="J27" s="411">
        <v>960</v>
      </c>
      <c r="K27" s="404">
        <f>I27*J27</f>
        <v>23848.243199999997</v>
      </c>
    </row>
    <row r="28" spans="1:11">
      <c r="A28" s="128"/>
      <c r="B28" s="129"/>
      <c r="C28" s="132"/>
      <c r="D28" s="131"/>
      <c r="E28" s="131"/>
      <c r="F28" s="131"/>
      <c r="G28" s="131"/>
      <c r="H28" s="264"/>
      <c r="I28" s="130"/>
      <c r="J28" s="117"/>
      <c r="K28" s="118"/>
    </row>
    <row r="29" spans="1:11" ht="15.75">
      <c r="A29" s="405">
        <v>1.27</v>
      </c>
      <c r="B29" s="406" t="s">
        <v>36</v>
      </c>
      <c r="C29" s="410" t="s">
        <v>34</v>
      </c>
      <c r="D29" s="415"/>
      <c r="E29" s="415"/>
      <c r="F29" s="415"/>
      <c r="G29" s="415"/>
      <c r="H29" s="408" t="s">
        <v>215</v>
      </c>
      <c r="I29" s="428">
        <f>10%*(SUM($I17:$I21))</f>
        <v>8.28064</v>
      </c>
      <c r="J29" s="411">
        <v>1800</v>
      </c>
      <c r="K29" s="404">
        <f>I29*J29</f>
        <v>14905.152</v>
      </c>
    </row>
    <row r="30" spans="1:11">
      <c r="A30" s="133"/>
      <c r="B30" s="129"/>
      <c r="C30" s="132"/>
      <c r="D30" s="131"/>
      <c r="E30" s="131"/>
      <c r="F30" s="131"/>
      <c r="G30" s="131"/>
      <c r="H30" s="131"/>
      <c r="I30" s="132"/>
      <c r="J30" s="230"/>
      <c r="K30" s="118"/>
    </row>
    <row r="31" spans="1:11">
      <c r="A31" s="110">
        <v>1.3</v>
      </c>
      <c r="B31" s="111" t="s">
        <v>180</v>
      </c>
      <c r="C31" s="132"/>
      <c r="D31" s="131"/>
      <c r="E31" s="131"/>
      <c r="F31" s="131"/>
      <c r="G31" s="131"/>
      <c r="H31" s="131"/>
      <c r="I31" s="132"/>
      <c r="J31" s="230"/>
      <c r="K31" s="118"/>
    </row>
    <row r="32" spans="1:11">
      <c r="A32" s="133"/>
      <c r="B32" s="129"/>
      <c r="C32" s="132"/>
      <c r="D32" s="131"/>
      <c r="E32" s="131"/>
      <c r="F32" s="131"/>
      <c r="G32" s="131"/>
      <c r="H32" s="131"/>
      <c r="I32" s="132"/>
      <c r="J32" s="230"/>
      <c r="K32" s="118"/>
    </row>
    <row r="33" spans="1:11" ht="27.75" customHeight="1">
      <c r="A33" s="122">
        <v>1.31</v>
      </c>
      <c r="B33" s="123" t="s">
        <v>205</v>
      </c>
      <c r="C33" s="112" t="s">
        <v>34</v>
      </c>
      <c r="D33" s="256">
        <f>D17</f>
        <v>9.32</v>
      </c>
      <c r="E33" s="126">
        <f>E17</f>
        <v>4.3999999999999995</v>
      </c>
      <c r="F33" s="125">
        <f>F17</f>
        <v>3.36</v>
      </c>
      <c r="G33" s="125">
        <v>0.25</v>
      </c>
      <c r="H33" s="125"/>
      <c r="I33" s="419">
        <f>((D33*E33)+F33)*G33</f>
        <v>11.091999999999999</v>
      </c>
      <c r="J33" s="117">
        <v>980</v>
      </c>
      <c r="K33" s="118">
        <f>I33*J33</f>
        <v>10870.159999999998</v>
      </c>
    </row>
    <row r="34" spans="1:11">
      <c r="A34" s="122"/>
      <c r="B34" s="123"/>
      <c r="C34" s="230"/>
      <c r="D34" s="125"/>
      <c r="E34" s="125"/>
      <c r="F34" s="125"/>
      <c r="G34" s="125"/>
      <c r="H34" s="125"/>
      <c r="I34" s="230"/>
      <c r="J34" s="230"/>
      <c r="K34" s="118"/>
    </row>
    <row r="35" spans="1:11" s="154" customFormat="1" ht="15">
      <c r="A35" s="487" t="s">
        <v>111</v>
      </c>
      <c r="B35" s="488"/>
      <c r="C35" s="488"/>
      <c r="D35" s="488"/>
      <c r="E35" s="488"/>
      <c r="F35" s="488"/>
      <c r="G35" s="488"/>
      <c r="H35" s="488"/>
      <c r="I35" s="488"/>
      <c r="J35" s="489"/>
      <c r="K35" s="240">
        <f>SUM(K5:K34)</f>
        <v>121026.0912</v>
      </c>
    </row>
    <row r="36" spans="1:11" s="11" customFormat="1">
      <c r="A36" s="107"/>
      <c r="B36" s="134"/>
      <c r="C36" s="109"/>
      <c r="D36" s="109"/>
      <c r="E36" s="109"/>
      <c r="F36" s="109"/>
      <c r="G36" s="109"/>
      <c r="H36" s="109"/>
      <c r="I36" s="109"/>
      <c r="J36" s="118"/>
      <c r="K36" s="118"/>
    </row>
    <row r="37" spans="1:11">
      <c r="A37" s="110">
        <v>2</v>
      </c>
      <c r="B37" s="111" t="s">
        <v>154</v>
      </c>
      <c r="C37" s="112"/>
      <c r="D37" s="113"/>
      <c r="E37" s="113"/>
      <c r="F37" s="113"/>
      <c r="G37" s="113"/>
      <c r="H37" s="113"/>
      <c r="I37" s="112"/>
      <c r="J37" s="117"/>
      <c r="K37" s="118"/>
    </row>
    <row r="38" spans="1:11">
      <c r="A38" s="119"/>
      <c r="B38" s="120"/>
      <c r="C38" s="112"/>
      <c r="D38" s="113"/>
      <c r="E38" s="113"/>
      <c r="F38" s="113"/>
      <c r="G38" s="113"/>
      <c r="H38" s="113"/>
      <c r="I38" s="112"/>
      <c r="J38" s="117"/>
      <c r="K38" s="118"/>
    </row>
    <row r="39" spans="1:11">
      <c r="A39" s="119">
        <v>2.1</v>
      </c>
      <c r="B39" s="136" t="s">
        <v>282</v>
      </c>
      <c r="C39" s="112"/>
      <c r="D39" s="113"/>
      <c r="E39" s="113"/>
      <c r="F39" s="113"/>
      <c r="G39" s="113"/>
      <c r="H39" s="113"/>
      <c r="I39" s="112"/>
      <c r="J39" s="117"/>
      <c r="K39" s="118"/>
    </row>
    <row r="40" spans="1:11">
      <c r="A40" s="119"/>
      <c r="B40" s="129"/>
      <c r="C40" s="112"/>
      <c r="D40" s="113"/>
      <c r="E40" s="113"/>
      <c r="F40" s="113"/>
      <c r="G40" s="113"/>
      <c r="H40" s="113"/>
      <c r="I40" s="112"/>
      <c r="J40" s="117"/>
      <c r="K40" s="118"/>
    </row>
    <row r="41" spans="1:11" ht="18" customHeight="1">
      <c r="A41" s="132">
        <v>2.11</v>
      </c>
      <c r="B41" s="129" t="s">
        <v>439</v>
      </c>
      <c r="C41" s="112" t="s">
        <v>37</v>
      </c>
      <c r="D41" s="113">
        <f>D7</f>
        <v>1.4</v>
      </c>
      <c r="E41" s="113">
        <f>E7</f>
        <v>1.2</v>
      </c>
      <c r="F41" s="113">
        <v>0.44</v>
      </c>
      <c r="G41" s="113">
        <v>1.41</v>
      </c>
      <c r="H41" s="113">
        <f>(((D41)+(E41*2))*F41)+((D41)+(E41*2))*G41</f>
        <v>7.0299999999999994</v>
      </c>
      <c r="I41" s="420">
        <f>I33</f>
        <v>11.091999999999999</v>
      </c>
      <c r="J41" s="117">
        <v>150</v>
      </c>
      <c r="K41" s="118">
        <f>I41*J41</f>
        <v>1663.7999999999997</v>
      </c>
    </row>
    <row r="42" spans="1:11">
      <c r="A42" s="119"/>
      <c r="B42" s="238"/>
      <c r="C42" s="112"/>
      <c r="D42" s="113"/>
      <c r="E42" s="113"/>
      <c r="F42" s="113"/>
      <c r="G42" s="113"/>
      <c r="H42" s="113"/>
      <c r="I42" s="112"/>
      <c r="J42" s="117"/>
      <c r="K42" s="118"/>
    </row>
    <row r="43" spans="1:11">
      <c r="A43" s="110">
        <v>2.2000000000000002</v>
      </c>
      <c r="B43" s="111" t="s">
        <v>48</v>
      </c>
      <c r="C43" s="112"/>
      <c r="D43" s="113"/>
      <c r="E43" s="113"/>
      <c r="F43" s="113"/>
      <c r="G43" s="113"/>
      <c r="H43" s="113"/>
      <c r="I43" s="112"/>
      <c r="J43" s="117"/>
      <c r="K43" s="118"/>
    </row>
    <row r="44" spans="1:11" ht="15">
      <c r="A44" s="110"/>
      <c r="B44" s="114"/>
      <c r="C44" s="112"/>
      <c r="D44" s="113"/>
      <c r="E44" s="113"/>
      <c r="F44" s="113"/>
      <c r="G44" s="113"/>
      <c r="H44" s="113"/>
      <c r="I44" s="112"/>
      <c r="J44" s="117"/>
      <c r="K44" s="118"/>
    </row>
    <row r="45" spans="1:11" ht="25.5">
      <c r="A45" s="122">
        <v>2.21</v>
      </c>
      <c r="B45" s="264" t="s">
        <v>198</v>
      </c>
      <c r="C45" s="112" t="s">
        <v>12</v>
      </c>
      <c r="D45" s="245">
        <f>D5</f>
        <v>6.12</v>
      </c>
      <c r="E45" s="113">
        <f>E5-1.2</f>
        <v>2.5999999999999996</v>
      </c>
      <c r="F45" s="113"/>
      <c r="G45" s="113"/>
      <c r="H45" s="245"/>
      <c r="I45" s="421">
        <f>((D45*2)+(E45*3))*D46*E46</f>
        <v>0.60119999999999996</v>
      </c>
      <c r="J45" s="117">
        <v>13970</v>
      </c>
      <c r="K45" s="118">
        <f>I45*J45</f>
        <v>8398.7639999999992</v>
      </c>
    </row>
    <row r="46" spans="1:11">
      <c r="A46" s="122"/>
      <c r="B46" s="249"/>
      <c r="C46" s="112"/>
      <c r="D46" s="113">
        <v>0.05</v>
      </c>
      <c r="E46" s="113">
        <v>0.6</v>
      </c>
      <c r="F46" s="113"/>
      <c r="G46" s="113"/>
      <c r="H46" s="113"/>
      <c r="I46" s="248"/>
      <c r="J46" s="253"/>
      <c r="K46" s="118"/>
    </row>
    <row r="47" spans="1:11" ht="55.5" customHeight="1">
      <c r="A47" s="122">
        <v>2.2200000000000002</v>
      </c>
      <c r="B47" s="123" t="s">
        <v>443</v>
      </c>
      <c r="C47" s="112" t="s">
        <v>37</v>
      </c>
      <c r="D47" s="245">
        <f>D5+D6</f>
        <v>8.7200000000000006</v>
      </c>
      <c r="E47" s="113">
        <f>E5</f>
        <v>3.8</v>
      </c>
      <c r="F47" s="113">
        <f>D7*E7</f>
        <v>1.68</v>
      </c>
      <c r="G47" s="113"/>
      <c r="H47" s="113"/>
      <c r="I47" s="422">
        <f>(D47*E47)+(F47)</f>
        <v>34.816000000000003</v>
      </c>
      <c r="J47" s="117">
        <v>495</v>
      </c>
      <c r="K47" s="118">
        <f>I47*J47</f>
        <v>17233.920000000002</v>
      </c>
    </row>
    <row r="48" spans="1:11">
      <c r="A48" s="122"/>
      <c r="B48" s="123"/>
      <c r="C48" s="112"/>
      <c r="D48" s="113"/>
      <c r="E48" s="113"/>
      <c r="F48" s="113"/>
      <c r="G48" s="113"/>
      <c r="H48" s="113"/>
      <c r="I48" s="112"/>
      <c r="J48" s="117"/>
      <c r="K48" s="118"/>
    </row>
    <row r="49" spans="1:11" ht="57" customHeight="1">
      <c r="A49" s="122">
        <v>2.23</v>
      </c>
      <c r="B49" s="123" t="s">
        <v>444</v>
      </c>
      <c r="C49" s="112" t="s">
        <v>12</v>
      </c>
      <c r="D49" s="245">
        <f>D47</f>
        <v>8.7200000000000006</v>
      </c>
      <c r="E49" s="113">
        <f>E47</f>
        <v>3.8</v>
      </c>
      <c r="F49" s="11">
        <f>F47</f>
        <v>1.68</v>
      </c>
      <c r="G49" s="113">
        <v>0.15</v>
      </c>
      <c r="H49" s="245"/>
      <c r="I49" s="422">
        <f>((D49*E49)+F49)*G49</f>
        <v>5.2224000000000004</v>
      </c>
      <c r="J49" s="117">
        <v>13970</v>
      </c>
      <c r="K49" s="118">
        <f>I49*J49</f>
        <v>72956.928</v>
      </c>
    </row>
    <row r="50" spans="1:11">
      <c r="A50" s="122"/>
      <c r="B50" s="120"/>
      <c r="C50" s="112"/>
      <c r="D50" s="113"/>
      <c r="E50" s="113"/>
      <c r="F50" s="113"/>
      <c r="G50" s="113"/>
      <c r="H50" s="113"/>
      <c r="I50" s="112"/>
      <c r="J50" s="117"/>
      <c r="K50" s="118"/>
    </row>
    <row r="51" spans="1:11">
      <c r="A51" s="119">
        <v>2.2999999999999998</v>
      </c>
      <c r="B51" s="136" t="s">
        <v>82</v>
      </c>
      <c r="C51" s="112"/>
      <c r="D51" s="113"/>
      <c r="E51" s="113"/>
      <c r="F51" s="113"/>
      <c r="G51" s="113"/>
      <c r="H51" s="113"/>
      <c r="I51" s="112"/>
      <c r="J51" s="117"/>
      <c r="K51" s="118"/>
    </row>
    <row r="52" spans="1:11">
      <c r="A52" s="119"/>
      <c r="B52" s="136"/>
      <c r="C52" s="112"/>
      <c r="D52" s="113"/>
      <c r="E52" s="113"/>
      <c r="F52" s="113"/>
      <c r="G52" s="113"/>
      <c r="H52" s="113"/>
      <c r="I52" s="112"/>
      <c r="J52" s="117"/>
      <c r="K52" s="118"/>
    </row>
    <row r="53" spans="1:11" ht="51">
      <c r="A53" s="122">
        <v>2.31</v>
      </c>
      <c r="B53" s="129" t="s">
        <v>462</v>
      </c>
      <c r="C53" s="112" t="s">
        <v>37</v>
      </c>
      <c r="D53" s="245">
        <f>D49</f>
        <v>8.7200000000000006</v>
      </c>
      <c r="E53" s="245">
        <f>E49</f>
        <v>3.8</v>
      </c>
      <c r="F53" s="113">
        <f>F49</f>
        <v>1.68</v>
      </c>
      <c r="G53" s="113"/>
      <c r="H53" s="113"/>
      <c r="I53" s="422">
        <f>(D53*E53)+F53</f>
        <v>34.816000000000003</v>
      </c>
      <c r="J53" s="253">
        <v>450</v>
      </c>
      <c r="K53" s="118">
        <f>I53*J53</f>
        <v>15667.2</v>
      </c>
    </row>
    <row r="54" spans="1:11">
      <c r="A54" s="122"/>
      <c r="B54" s="129"/>
      <c r="C54" s="112"/>
      <c r="D54" s="113"/>
      <c r="E54" s="113"/>
      <c r="F54" s="113"/>
      <c r="G54" s="113"/>
      <c r="H54" s="113"/>
      <c r="I54" s="112"/>
      <c r="J54" s="117"/>
      <c r="K54" s="118"/>
    </row>
    <row r="55" spans="1:11">
      <c r="A55" s="122">
        <v>2.3199999999999998</v>
      </c>
      <c r="B55" s="129" t="s">
        <v>45</v>
      </c>
      <c r="C55" s="112" t="s">
        <v>38</v>
      </c>
      <c r="D55" s="113"/>
      <c r="E55" s="113"/>
      <c r="F55" s="113"/>
      <c r="G55" s="113"/>
      <c r="H55" s="113"/>
      <c r="I55" s="422">
        <f>119.161296574054</f>
        <v>119.16129657405401</v>
      </c>
      <c r="J55" s="117">
        <v>150</v>
      </c>
      <c r="K55" s="118">
        <f>I55*J55</f>
        <v>17874.194486108099</v>
      </c>
    </row>
    <row r="56" spans="1:11">
      <c r="A56" s="122"/>
      <c r="B56" s="129"/>
      <c r="C56" s="112"/>
      <c r="D56" s="113"/>
      <c r="E56" s="113"/>
      <c r="F56" s="113"/>
      <c r="G56" s="113"/>
      <c r="H56" s="113"/>
      <c r="I56" s="112"/>
      <c r="J56" s="117"/>
      <c r="K56" s="118"/>
    </row>
    <row r="57" spans="1:11">
      <c r="A57" s="119">
        <v>2.4</v>
      </c>
      <c r="B57" s="136" t="s">
        <v>118</v>
      </c>
      <c r="C57" s="112"/>
      <c r="D57" s="125"/>
      <c r="E57" s="125"/>
      <c r="F57" s="125"/>
      <c r="G57" s="125"/>
      <c r="H57" s="125"/>
      <c r="I57" s="113"/>
      <c r="J57" s="125"/>
      <c r="K57" s="118"/>
    </row>
    <row r="58" spans="1:11">
      <c r="A58" s="119"/>
      <c r="B58" s="136"/>
      <c r="C58" s="112"/>
      <c r="D58" s="125"/>
      <c r="E58" s="125"/>
      <c r="F58" s="125"/>
      <c r="G58" s="125"/>
      <c r="H58" s="125"/>
      <c r="I58" s="113"/>
      <c r="J58" s="125"/>
      <c r="K58" s="118"/>
    </row>
    <row r="59" spans="1:11" ht="15.75">
      <c r="A59" s="122">
        <v>2.41</v>
      </c>
      <c r="B59" s="129" t="s">
        <v>360</v>
      </c>
      <c r="C59" s="130" t="s">
        <v>37</v>
      </c>
      <c r="D59" s="245">
        <f>D53</f>
        <v>8.7200000000000006</v>
      </c>
      <c r="E59" s="245">
        <f>E53</f>
        <v>3.8</v>
      </c>
      <c r="F59" s="113">
        <f>F53</f>
        <v>1.68</v>
      </c>
      <c r="G59" s="125"/>
      <c r="H59" s="125"/>
      <c r="I59" s="422">
        <f>(D59*E59)+F59</f>
        <v>34.816000000000003</v>
      </c>
      <c r="J59" s="117">
        <v>320</v>
      </c>
      <c r="K59" s="118">
        <f>I59*J59</f>
        <v>11141.12</v>
      </c>
    </row>
    <row r="60" spans="1:11" s="11" customFormat="1">
      <c r="A60" s="119"/>
      <c r="B60" s="129"/>
      <c r="C60" s="79"/>
      <c r="D60" s="113"/>
      <c r="E60" s="113"/>
      <c r="F60" s="113"/>
      <c r="G60" s="113"/>
      <c r="H60" s="113"/>
      <c r="I60" s="112"/>
      <c r="J60" s="117"/>
      <c r="K60" s="118"/>
    </row>
    <row r="61" spans="1:11" s="154" customFormat="1" ht="15">
      <c r="A61" s="487" t="s">
        <v>102</v>
      </c>
      <c r="B61" s="488"/>
      <c r="C61" s="488"/>
      <c r="D61" s="488"/>
      <c r="E61" s="488"/>
      <c r="F61" s="488"/>
      <c r="G61" s="488"/>
      <c r="H61" s="488"/>
      <c r="I61" s="488"/>
      <c r="J61" s="489"/>
      <c r="K61" s="240">
        <f>SUM(K36:K60)</f>
        <v>144935.9264861081</v>
      </c>
    </row>
    <row r="62" spans="1:11" s="11" customFormat="1">
      <c r="A62" s="107"/>
      <c r="B62" s="134"/>
      <c r="C62" s="109"/>
      <c r="D62" s="109"/>
      <c r="E62" s="109"/>
      <c r="F62" s="109"/>
      <c r="G62" s="109"/>
      <c r="H62" s="109"/>
      <c r="I62" s="109"/>
      <c r="J62" s="118"/>
      <c r="K62" s="118"/>
    </row>
    <row r="63" spans="1:11" ht="17.25" customHeight="1">
      <c r="A63" s="119">
        <v>3</v>
      </c>
      <c r="B63" s="136" t="s">
        <v>42</v>
      </c>
      <c r="C63" s="237"/>
      <c r="D63" s="125"/>
      <c r="E63" s="125"/>
      <c r="F63" s="125"/>
      <c r="G63" s="125"/>
      <c r="H63" s="125"/>
      <c r="I63" s="230"/>
      <c r="J63" s="230"/>
      <c r="K63" s="118"/>
    </row>
    <row r="64" spans="1:11" ht="15" customHeight="1">
      <c r="A64" s="119"/>
      <c r="B64" s="129"/>
      <c r="C64" s="112"/>
      <c r="D64" s="113"/>
      <c r="E64" s="113"/>
      <c r="F64" s="113"/>
      <c r="G64" s="113"/>
      <c r="H64" s="113"/>
      <c r="I64" s="112"/>
      <c r="J64" s="117"/>
      <c r="K64" s="118"/>
    </row>
    <row r="65" spans="1:11" ht="15" customHeight="1">
      <c r="A65" s="119">
        <v>3.1</v>
      </c>
      <c r="B65" s="136" t="s">
        <v>188</v>
      </c>
      <c r="C65" s="112"/>
      <c r="D65" s="113"/>
      <c r="E65" s="113"/>
      <c r="F65" s="113"/>
      <c r="G65" s="113"/>
      <c r="H65" s="113"/>
      <c r="I65" s="112"/>
      <c r="J65" s="117"/>
      <c r="K65" s="118"/>
    </row>
    <row r="66" spans="1:11" ht="15" customHeight="1">
      <c r="A66" s="119"/>
      <c r="B66" s="129"/>
      <c r="C66" s="112"/>
      <c r="D66" s="113"/>
      <c r="E66" s="113"/>
      <c r="F66" s="113"/>
      <c r="G66" s="113"/>
      <c r="H66" s="113"/>
      <c r="I66" s="112"/>
      <c r="J66" s="117"/>
      <c r="K66" s="118"/>
    </row>
    <row r="67" spans="1:11" ht="44.25" customHeight="1">
      <c r="A67" s="119"/>
      <c r="B67" s="129" t="s">
        <v>259</v>
      </c>
      <c r="C67" s="112"/>
      <c r="D67" s="113"/>
      <c r="E67" s="113"/>
      <c r="F67" s="113"/>
      <c r="G67" s="113"/>
      <c r="H67" s="113"/>
      <c r="I67" s="112"/>
      <c r="J67" s="117"/>
      <c r="K67" s="118"/>
    </row>
    <row r="68" spans="1:11">
      <c r="A68" s="119"/>
      <c r="B68" s="129"/>
      <c r="C68" s="112"/>
      <c r="D68" s="113"/>
      <c r="E68" s="113"/>
      <c r="F68" s="113"/>
      <c r="G68" s="113"/>
      <c r="H68" s="113"/>
      <c r="I68" s="112"/>
      <c r="J68" s="117"/>
      <c r="K68" s="118"/>
    </row>
    <row r="69" spans="1:11" ht="15.75">
      <c r="A69" s="122">
        <v>3.11</v>
      </c>
      <c r="B69" s="129" t="s">
        <v>41</v>
      </c>
      <c r="C69" s="112" t="s">
        <v>37</v>
      </c>
      <c r="D69" s="113">
        <f>F5</f>
        <v>5.72</v>
      </c>
      <c r="E69" s="246">
        <f>G5-0.4</f>
        <v>3</v>
      </c>
      <c r="F69" s="113">
        <v>2.31</v>
      </c>
      <c r="G69" s="125"/>
      <c r="H69" s="255">
        <f>((D69*2)+(E69*7))*F69</f>
        <v>74.936399999999992</v>
      </c>
      <c r="I69" s="417">
        <f>H69+H70+H41</f>
        <v>89.064399999999992</v>
      </c>
      <c r="J69" s="117">
        <v>2200</v>
      </c>
      <c r="K69" s="118">
        <f>I69*J69</f>
        <v>195941.68</v>
      </c>
    </row>
    <row r="70" spans="1:11">
      <c r="A70" s="119"/>
      <c r="B70" s="129"/>
      <c r="C70" s="112"/>
      <c r="D70" s="113">
        <f>D6-0.2</f>
        <v>2.4</v>
      </c>
      <c r="E70" s="113">
        <f>G5-0.4</f>
        <v>3</v>
      </c>
      <c r="F70" s="113">
        <v>0.91</v>
      </c>
      <c r="G70" s="113"/>
      <c r="H70" s="113">
        <f>((D70*2)+(E70))*F70</f>
        <v>7.0979999999999999</v>
      </c>
      <c r="I70" s="112"/>
      <c r="J70" s="117"/>
      <c r="K70" s="118"/>
    </row>
    <row r="71" spans="1:11">
      <c r="A71" s="119">
        <v>3.2</v>
      </c>
      <c r="B71" s="136" t="s">
        <v>445</v>
      </c>
      <c r="C71" s="112"/>
      <c r="D71" s="113"/>
      <c r="E71" s="113"/>
      <c r="F71" s="113"/>
      <c r="G71" s="113"/>
      <c r="H71" s="113"/>
      <c r="I71" s="112"/>
      <c r="J71" s="117"/>
      <c r="K71" s="118"/>
    </row>
    <row r="72" spans="1:11">
      <c r="A72" s="119"/>
      <c r="B72" s="129"/>
      <c r="C72" s="112"/>
      <c r="D72" s="113"/>
      <c r="E72" s="113"/>
      <c r="F72" s="113"/>
      <c r="G72" s="113"/>
      <c r="H72" s="113"/>
      <c r="I72" s="112"/>
      <c r="J72" s="117"/>
      <c r="K72" s="118"/>
    </row>
    <row r="73" spans="1:11" ht="15.75">
      <c r="A73" s="122">
        <v>3.21</v>
      </c>
      <c r="B73" s="123" t="s">
        <v>207</v>
      </c>
      <c r="C73" s="112" t="s">
        <v>37</v>
      </c>
      <c r="D73" s="113"/>
      <c r="E73" s="113"/>
      <c r="F73" s="113"/>
      <c r="G73" s="113"/>
      <c r="H73" s="245"/>
      <c r="I73" s="422">
        <f>I69*2</f>
        <v>178.12879999999998</v>
      </c>
      <c r="J73" s="117">
        <v>550</v>
      </c>
      <c r="K73" s="118">
        <f>I73*J73</f>
        <v>97970.84</v>
      </c>
    </row>
    <row r="74" spans="1:11">
      <c r="A74" s="119"/>
      <c r="B74" s="123"/>
      <c r="C74" s="112"/>
      <c r="D74" s="125"/>
      <c r="E74" s="125"/>
      <c r="F74" s="125"/>
      <c r="G74" s="125"/>
      <c r="H74" s="125"/>
      <c r="I74" s="113"/>
      <c r="J74" s="125"/>
      <c r="K74" s="118"/>
    </row>
    <row r="75" spans="1:11" s="154" customFormat="1" ht="15">
      <c r="A75" s="487" t="s">
        <v>103</v>
      </c>
      <c r="B75" s="488"/>
      <c r="C75" s="488"/>
      <c r="D75" s="488"/>
      <c r="E75" s="488"/>
      <c r="F75" s="488"/>
      <c r="G75" s="488"/>
      <c r="H75" s="488"/>
      <c r="I75" s="488"/>
      <c r="J75" s="489"/>
      <c r="K75" s="240">
        <f>SUM(K62:K74)</f>
        <v>293912.52</v>
      </c>
    </row>
    <row r="76" spans="1:11" s="11" customFormat="1">
      <c r="A76" s="107"/>
      <c r="B76" s="134"/>
      <c r="C76" s="109"/>
      <c r="D76" s="109"/>
      <c r="E76" s="109"/>
      <c r="F76" s="109"/>
      <c r="G76" s="109"/>
      <c r="H76" s="109"/>
      <c r="I76" s="109"/>
      <c r="J76" s="118"/>
      <c r="K76" s="118"/>
    </row>
    <row r="77" spans="1:11">
      <c r="A77" s="110">
        <v>4</v>
      </c>
      <c r="B77" s="111" t="s">
        <v>155</v>
      </c>
      <c r="C77" s="112"/>
      <c r="D77" s="113"/>
      <c r="E77" s="113"/>
      <c r="F77" s="113"/>
      <c r="G77" s="113"/>
      <c r="H77" s="113"/>
      <c r="I77" s="112"/>
      <c r="J77" s="117"/>
      <c r="K77" s="118"/>
    </row>
    <row r="78" spans="1:11">
      <c r="A78" s="119"/>
      <c r="B78" s="120"/>
      <c r="C78" s="112"/>
      <c r="D78" s="113"/>
      <c r="E78" s="113"/>
      <c r="F78" s="113"/>
      <c r="G78" s="113"/>
      <c r="H78" s="113"/>
      <c r="I78" s="112"/>
      <c r="J78" s="117"/>
      <c r="K78" s="118"/>
    </row>
    <row r="79" spans="1:11">
      <c r="A79" s="110">
        <v>4.0999999999999996</v>
      </c>
      <c r="B79" s="111" t="s">
        <v>48</v>
      </c>
      <c r="C79" s="112"/>
      <c r="D79" s="113"/>
      <c r="E79" s="113"/>
      <c r="F79" s="113"/>
      <c r="G79" s="113"/>
      <c r="H79" s="113"/>
      <c r="I79" s="112"/>
      <c r="J79" s="117"/>
      <c r="K79" s="118"/>
    </row>
    <row r="80" spans="1:11">
      <c r="A80" s="122"/>
      <c r="B80" s="120"/>
      <c r="C80" s="112"/>
      <c r="D80" s="113"/>
      <c r="E80" s="113"/>
      <c r="F80" s="113"/>
      <c r="G80" s="113"/>
      <c r="H80" s="113"/>
      <c r="I80" s="112"/>
      <c r="J80" s="117"/>
      <c r="K80" s="118"/>
    </row>
    <row r="81" spans="1:11" ht="25.5">
      <c r="A81" s="122">
        <v>4.1100000000000003</v>
      </c>
      <c r="B81" s="244" t="s">
        <v>49</v>
      </c>
      <c r="C81" s="112" t="s">
        <v>12</v>
      </c>
      <c r="D81" s="245">
        <v>8.1199999999999992</v>
      </c>
      <c r="E81" s="11">
        <v>3</v>
      </c>
      <c r="F81" s="113">
        <v>0.2</v>
      </c>
      <c r="G81" s="113">
        <v>0.4</v>
      </c>
      <c r="H81" s="8"/>
      <c r="I81" s="422">
        <f>((D81*2)+(E81*4))*F81*G81</f>
        <v>2.2591999999999999</v>
      </c>
      <c r="J81" s="117">
        <v>13970</v>
      </c>
      <c r="K81" s="118">
        <f>I81*J81</f>
        <v>31561.023999999998</v>
      </c>
    </row>
    <row r="82" spans="1:11">
      <c r="A82" s="122"/>
      <c r="B82" s="244"/>
      <c r="C82" s="112"/>
      <c r="D82" s="245"/>
      <c r="E82" s="113"/>
      <c r="F82" s="113"/>
      <c r="G82" s="113"/>
      <c r="H82" s="245"/>
      <c r="I82" s="112"/>
      <c r="J82" s="117"/>
      <c r="K82" s="118"/>
    </row>
    <row r="83" spans="1:11" ht="30" customHeight="1">
      <c r="A83" s="122">
        <v>4.12</v>
      </c>
      <c r="B83" s="249" t="s">
        <v>446</v>
      </c>
      <c r="C83" s="112" t="s">
        <v>12</v>
      </c>
      <c r="D83" s="245">
        <f>D81</f>
        <v>8.1199999999999992</v>
      </c>
      <c r="E83" s="113">
        <f>G5</f>
        <v>3.4</v>
      </c>
      <c r="F83" s="113">
        <v>0.15</v>
      </c>
      <c r="G83" s="113"/>
      <c r="H83" s="113"/>
      <c r="I83" s="422">
        <f>D83*E83*F83</f>
        <v>4.1411999999999995</v>
      </c>
      <c r="J83" s="117">
        <v>13970</v>
      </c>
      <c r="K83" s="118">
        <f>I83*J83</f>
        <v>57852.563999999991</v>
      </c>
    </row>
    <row r="84" spans="1:11">
      <c r="A84" s="122"/>
      <c r="B84" s="120"/>
      <c r="C84" s="112"/>
      <c r="D84" s="113"/>
      <c r="E84" s="113"/>
      <c r="F84" s="113"/>
      <c r="G84" s="113"/>
      <c r="H84" s="113"/>
      <c r="I84" s="112"/>
      <c r="J84" s="117"/>
      <c r="K84" s="118"/>
    </row>
    <row r="85" spans="1:11" ht="30" customHeight="1">
      <c r="A85" s="122">
        <v>4.13</v>
      </c>
      <c r="B85" s="252" t="s">
        <v>447</v>
      </c>
      <c r="C85" s="112" t="s">
        <v>11</v>
      </c>
      <c r="D85" s="113"/>
      <c r="E85" s="113"/>
      <c r="G85" s="113"/>
      <c r="H85" s="113"/>
      <c r="I85" s="423">
        <v>2</v>
      </c>
      <c r="J85" s="253">
        <v>2250</v>
      </c>
      <c r="K85" s="118">
        <f>I85*J85</f>
        <v>4500</v>
      </c>
    </row>
    <row r="86" spans="1:11">
      <c r="A86" s="265"/>
      <c r="B86" s="252"/>
      <c r="C86" s="112"/>
      <c r="D86" s="113"/>
      <c r="E86" s="113"/>
      <c r="G86" s="113"/>
      <c r="H86" s="113"/>
      <c r="I86" s="112"/>
      <c r="J86" s="253"/>
      <c r="K86" s="118"/>
    </row>
    <row r="87" spans="1:11" ht="30" customHeight="1">
      <c r="A87" s="122">
        <v>4.1399999999999997</v>
      </c>
      <c r="B87" s="252" t="s">
        <v>335</v>
      </c>
      <c r="C87" s="112"/>
      <c r="D87" s="113"/>
      <c r="E87" s="113"/>
      <c r="G87" s="113"/>
      <c r="H87" s="113"/>
      <c r="I87" s="423">
        <v>15</v>
      </c>
      <c r="J87" s="253">
        <v>3000</v>
      </c>
      <c r="K87" s="118">
        <f>I87*J87</f>
        <v>45000</v>
      </c>
    </row>
    <row r="88" spans="1:11">
      <c r="A88" s="8"/>
      <c r="B88" s="129"/>
      <c r="C88" s="112"/>
      <c r="D88" s="113"/>
      <c r="E88" s="113"/>
      <c r="F88" s="113"/>
      <c r="G88" s="113"/>
      <c r="H88" s="113"/>
      <c r="I88" s="112"/>
      <c r="J88" s="117"/>
      <c r="K88" s="118"/>
    </row>
    <row r="89" spans="1:11" ht="81" customHeight="1">
      <c r="A89" s="122">
        <v>4.1500000000000004</v>
      </c>
      <c r="B89" s="244" t="s">
        <v>378</v>
      </c>
      <c r="C89" s="112" t="s">
        <v>11</v>
      </c>
      <c r="D89" s="113"/>
      <c r="E89" s="113"/>
      <c r="F89" s="113"/>
      <c r="G89" s="113"/>
      <c r="H89" s="113"/>
      <c r="I89" s="248">
        <v>4</v>
      </c>
      <c r="J89" s="253">
        <v>1000</v>
      </c>
      <c r="K89" s="118">
        <f>I89*J89</f>
        <v>4000</v>
      </c>
    </row>
    <row r="90" spans="1:11">
      <c r="A90" s="122"/>
      <c r="B90" s="244"/>
      <c r="C90" s="112"/>
      <c r="D90" s="113"/>
      <c r="E90" s="113"/>
      <c r="F90" s="113"/>
      <c r="G90" s="113"/>
      <c r="H90" s="113"/>
      <c r="I90" s="248"/>
      <c r="J90" s="253"/>
      <c r="K90" s="118"/>
    </row>
    <row r="91" spans="1:11">
      <c r="A91" s="119">
        <v>4.2</v>
      </c>
      <c r="B91" s="136" t="s">
        <v>82</v>
      </c>
      <c r="C91" s="112"/>
      <c r="D91" s="113"/>
      <c r="E91" s="113"/>
      <c r="F91" s="113"/>
      <c r="G91" s="113"/>
      <c r="H91" s="113"/>
      <c r="I91" s="112"/>
      <c r="J91" s="117"/>
      <c r="K91" s="118"/>
    </row>
    <row r="92" spans="1:11">
      <c r="A92" s="119"/>
      <c r="B92" s="136"/>
      <c r="C92" s="112"/>
      <c r="D92" s="113"/>
      <c r="E92" s="113"/>
      <c r="F92" s="113"/>
      <c r="G92" s="113"/>
      <c r="H92" s="113"/>
      <c r="I92" s="112"/>
      <c r="J92" s="117"/>
      <c r="K92" s="118"/>
    </row>
    <row r="93" spans="1:11" ht="21.75" customHeight="1">
      <c r="A93" s="122">
        <v>4.21</v>
      </c>
      <c r="B93" s="129" t="s">
        <v>45</v>
      </c>
      <c r="C93" s="112" t="s">
        <v>38</v>
      </c>
      <c r="D93" s="113"/>
      <c r="E93" s="113"/>
      <c r="F93" s="113"/>
      <c r="G93" s="113"/>
      <c r="H93" s="113"/>
      <c r="I93" s="422">
        <f>443.389150403293+(0.3*443.389150403293)</f>
        <v>576.40589552428094</v>
      </c>
      <c r="J93" s="117">
        <v>150</v>
      </c>
      <c r="K93" s="118">
        <f>I93*J93</f>
        <v>86460.884328642147</v>
      </c>
    </row>
    <row r="94" spans="1:11">
      <c r="A94" s="122"/>
      <c r="B94" s="129"/>
      <c r="C94" s="112"/>
      <c r="D94" s="113"/>
      <c r="E94" s="113"/>
      <c r="F94" s="113"/>
      <c r="G94" s="113"/>
      <c r="H94" s="113"/>
      <c r="I94" s="112"/>
      <c r="J94" s="117"/>
      <c r="K94" s="118"/>
    </row>
    <row r="95" spans="1:11">
      <c r="A95" s="119">
        <v>4.3</v>
      </c>
      <c r="B95" s="136" t="s">
        <v>39</v>
      </c>
      <c r="C95" s="112"/>
      <c r="D95" s="125"/>
      <c r="E95" s="125"/>
      <c r="F95" s="125"/>
      <c r="G95" s="125"/>
      <c r="H95" s="125"/>
      <c r="I95" s="230"/>
      <c r="J95" s="230"/>
      <c r="K95" s="118"/>
    </row>
    <row r="96" spans="1:11">
      <c r="A96" s="122"/>
      <c r="B96" s="236"/>
      <c r="C96" s="237"/>
      <c r="D96" s="113"/>
      <c r="E96" s="113"/>
      <c r="F96" s="113"/>
      <c r="G96" s="113"/>
      <c r="H96" s="113"/>
      <c r="I96" s="112"/>
      <c r="J96" s="117"/>
      <c r="K96" s="118"/>
    </row>
    <row r="97" spans="1:12" ht="25.5">
      <c r="A97" s="122"/>
      <c r="B97" s="129" t="s">
        <v>40</v>
      </c>
      <c r="C97" s="132"/>
      <c r="D97" s="113"/>
      <c r="E97" s="113"/>
      <c r="F97" s="113"/>
      <c r="G97" s="113"/>
      <c r="H97" s="113"/>
      <c r="I97" s="112"/>
      <c r="J97" s="117"/>
      <c r="K97" s="118"/>
    </row>
    <row r="98" spans="1:12">
      <c r="A98" s="122"/>
      <c r="B98" s="129"/>
      <c r="C98" s="132"/>
      <c r="D98" s="113"/>
      <c r="E98" s="113"/>
      <c r="F98" s="113"/>
      <c r="G98" s="113"/>
      <c r="H98" s="113"/>
      <c r="I98" s="112"/>
      <c r="J98" s="117"/>
      <c r="K98" s="118"/>
    </row>
    <row r="99" spans="1:12">
      <c r="A99" s="122">
        <v>4.3099999999999996</v>
      </c>
      <c r="B99" s="129" t="s">
        <v>53</v>
      </c>
      <c r="C99" s="132"/>
      <c r="D99" s="113"/>
      <c r="E99" s="113"/>
      <c r="F99" s="113"/>
      <c r="G99" s="113"/>
      <c r="H99" s="113"/>
      <c r="I99" s="112"/>
      <c r="J99" s="117"/>
      <c r="K99" s="118"/>
    </row>
    <row r="100" spans="1:12">
      <c r="A100" s="122"/>
      <c r="B100" s="129"/>
      <c r="C100" s="132"/>
      <c r="D100" s="113"/>
      <c r="E100" s="113"/>
      <c r="F100" s="113"/>
      <c r="G100" s="113"/>
      <c r="H100" s="113"/>
      <c r="I100" s="112"/>
      <c r="J100" s="117"/>
      <c r="K100" s="118"/>
    </row>
    <row r="101" spans="1:12" ht="18.75" customHeight="1">
      <c r="A101" s="358">
        <v>4.3109999999999999</v>
      </c>
      <c r="B101" s="129" t="s">
        <v>51</v>
      </c>
      <c r="C101" s="130" t="s">
        <v>37</v>
      </c>
      <c r="D101" s="113">
        <f>D83</f>
        <v>8.1199999999999992</v>
      </c>
      <c r="E101" s="113">
        <f>E83</f>
        <v>3.4</v>
      </c>
      <c r="F101" s="113"/>
      <c r="G101" s="113"/>
      <c r="H101" s="245"/>
      <c r="I101" s="422">
        <f>D101*E101</f>
        <v>27.607999999999997</v>
      </c>
      <c r="J101" s="117">
        <v>500</v>
      </c>
      <c r="K101" s="118">
        <f>I101*J101</f>
        <v>13803.999999999998</v>
      </c>
    </row>
    <row r="102" spans="1:12">
      <c r="A102" s="122"/>
      <c r="B102" s="129"/>
      <c r="C102" s="257"/>
      <c r="D102" s="113"/>
      <c r="E102" s="113"/>
      <c r="F102" s="113"/>
      <c r="G102" s="113"/>
      <c r="H102" s="247"/>
      <c r="I102" s="112"/>
      <c r="J102" s="117"/>
      <c r="K102" s="118"/>
    </row>
    <row r="103" spans="1:12">
      <c r="A103" s="122">
        <v>4.32</v>
      </c>
      <c r="B103" s="129" t="s">
        <v>54</v>
      </c>
      <c r="C103" s="237"/>
      <c r="D103" s="125"/>
      <c r="E103" s="125"/>
      <c r="F103" s="125"/>
      <c r="G103" s="125"/>
      <c r="H103" s="125"/>
      <c r="I103" s="230"/>
      <c r="J103" s="230"/>
      <c r="K103" s="118"/>
    </row>
    <row r="104" spans="1:12">
      <c r="A104" s="168"/>
      <c r="B104" s="232"/>
      <c r="C104" s="239"/>
      <c r="D104" s="142"/>
      <c r="E104" s="142"/>
      <c r="F104" s="142"/>
      <c r="G104" s="142"/>
      <c r="H104" s="142"/>
      <c r="I104" s="141"/>
      <c r="J104" s="143"/>
      <c r="K104" s="144"/>
    </row>
    <row r="105" spans="1:12" ht="15.75">
      <c r="A105" s="358">
        <v>4.3209999999999997</v>
      </c>
      <c r="B105" s="129" t="s">
        <v>379</v>
      </c>
      <c r="C105" s="257" t="s">
        <v>37</v>
      </c>
      <c r="D105" s="113">
        <f>D81</f>
        <v>8.1199999999999992</v>
      </c>
      <c r="E105" s="113">
        <f>E83</f>
        <v>3.4</v>
      </c>
      <c r="F105" s="113"/>
      <c r="G105" s="8"/>
      <c r="H105" s="112">
        <f>((D105*2)+(E105*2))</f>
        <v>23.04</v>
      </c>
      <c r="I105" s="422">
        <f>H105+H106</f>
        <v>56.48</v>
      </c>
      <c r="J105" s="117">
        <v>250</v>
      </c>
      <c r="K105" s="118">
        <f>H105*J105</f>
        <v>5760</v>
      </c>
    </row>
    <row r="106" spans="1:12">
      <c r="A106" s="122"/>
      <c r="B106" s="129"/>
      <c r="C106" s="257"/>
      <c r="D106" s="113">
        <f>8.12-0.4</f>
        <v>7.7199999999999989</v>
      </c>
      <c r="E106" s="113">
        <f>E81</f>
        <v>3</v>
      </c>
      <c r="F106" s="113"/>
      <c r="G106" s="113"/>
      <c r="H106" s="251">
        <f>((D106*2)+(E106*6))</f>
        <v>33.44</v>
      </c>
      <c r="I106" s="112"/>
      <c r="J106" s="117"/>
      <c r="K106" s="118"/>
    </row>
    <row r="107" spans="1:12" s="154" customFormat="1" ht="15">
      <c r="A107" s="487" t="s">
        <v>104</v>
      </c>
      <c r="B107" s="488"/>
      <c r="C107" s="488"/>
      <c r="D107" s="488"/>
      <c r="E107" s="488"/>
      <c r="F107" s="488"/>
      <c r="G107" s="488"/>
      <c r="H107" s="488"/>
      <c r="I107" s="488"/>
      <c r="J107" s="489"/>
      <c r="K107" s="349">
        <f>SUM(K76:K106)</f>
        <v>248938.47232864215</v>
      </c>
      <c r="L107" s="351"/>
    </row>
    <row r="108" spans="1:12" s="11" customFormat="1">
      <c r="A108" s="119"/>
      <c r="B108" s="123"/>
      <c r="C108" s="112"/>
      <c r="D108" s="123"/>
      <c r="E108" s="123"/>
      <c r="F108" s="123"/>
      <c r="G108" s="123"/>
      <c r="H108" s="123"/>
      <c r="I108" s="124"/>
      <c r="J108" s="123"/>
      <c r="K108" s="118"/>
    </row>
    <row r="109" spans="1:12">
      <c r="A109" s="119">
        <v>5</v>
      </c>
      <c r="B109" s="136" t="s">
        <v>14</v>
      </c>
      <c r="C109" s="112"/>
      <c r="D109" s="125"/>
      <c r="E109" s="125"/>
      <c r="F109" s="125"/>
      <c r="G109" s="125"/>
      <c r="H109" s="125"/>
      <c r="I109" s="230"/>
      <c r="J109" s="230"/>
      <c r="K109" s="118"/>
    </row>
    <row r="110" spans="1:12">
      <c r="A110" s="119"/>
      <c r="B110" s="123"/>
      <c r="C110" s="112"/>
      <c r="D110" s="113"/>
      <c r="E110" s="113"/>
      <c r="F110" s="113"/>
      <c r="G110" s="113"/>
      <c r="H110" s="113"/>
      <c r="I110" s="112"/>
      <c r="J110" s="117"/>
      <c r="K110" s="118"/>
    </row>
    <row r="111" spans="1:12">
      <c r="A111" s="119">
        <v>5.0999999999999996</v>
      </c>
      <c r="B111" s="136" t="s">
        <v>85</v>
      </c>
      <c r="C111" s="112"/>
      <c r="D111" s="113"/>
      <c r="E111" s="113"/>
      <c r="F111" s="113"/>
      <c r="G111" s="113"/>
      <c r="H111" s="113"/>
      <c r="I111" s="112"/>
      <c r="J111" s="117"/>
      <c r="K111" s="118"/>
    </row>
    <row r="112" spans="1:12">
      <c r="A112" s="119"/>
      <c r="B112" s="123"/>
      <c r="C112" s="112"/>
      <c r="D112" s="113"/>
      <c r="E112" s="113"/>
      <c r="F112" s="113"/>
      <c r="G112" s="113"/>
      <c r="H112" s="113"/>
      <c r="I112" s="112"/>
      <c r="J112" s="117"/>
      <c r="K112" s="118"/>
    </row>
    <row r="113" spans="1:11" ht="41.25" customHeight="1">
      <c r="A113" s="119"/>
      <c r="B113" s="123" t="s">
        <v>210</v>
      </c>
      <c r="C113" s="112"/>
      <c r="D113" s="113"/>
      <c r="E113" s="113"/>
      <c r="F113" s="113"/>
      <c r="G113" s="113"/>
      <c r="H113" s="113"/>
      <c r="I113" s="112"/>
      <c r="J113" s="117"/>
      <c r="K113" s="118"/>
    </row>
    <row r="114" spans="1:11">
      <c r="A114" s="119"/>
      <c r="B114" s="123"/>
      <c r="C114" s="112"/>
      <c r="D114" s="125"/>
      <c r="E114" s="125"/>
      <c r="F114" s="125"/>
      <c r="G114" s="125"/>
      <c r="H114" s="125"/>
      <c r="I114" s="230"/>
      <c r="J114" s="230"/>
      <c r="K114" s="118"/>
    </row>
    <row r="115" spans="1:11" ht="14.25" customHeight="1">
      <c r="A115" s="122">
        <v>5.1100000000000003</v>
      </c>
      <c r="B115" s="244" t="s">
        <v>381</v>
      </c>
      <c r="C115" s="112" t="s">
        <v>11</v>
      </c>
      <c r="D115" s="125"/>
      <c r="E115" s="125"/>
      <c r="F115" s="125"/>
      <c r="G115" s="125"/>
      <c r="H115" s="336" t="s">
        <v>142</v>
      </c>
      <c r="I115" s="124">
        <v>6</v>
      </c>
      <c r="J115" s="117">
        <v>540</v>
      </c>
      <c r="K115" s="118">
        <f>I115*J115</f>
        <v>3240</v>
      </c>
    </row>
    <row r="116" spans="1:11">
      <c r="A116" s="122"/>
      <c r="B116" s="244"/>
      <c r="C116" s="112"/>
      <c r="D116" s="125"/>
      <c r="E116" s="125"/>
      <c r="F116" s="125"/>
      <c r="G116" s="125"/>
      <c r="H116" s="125"/>
      <c r="I116" s="230"/>
      <c r="J116" s="303"/>
      <c r="K116" s="118"/>
    </row>
    <row r="117" spans="1:11">
      <c r="A117" s="122">
        <v>5.12</v>
      </c>
      <c r="B117" s="244" t="s">
        <v>380</v>
      </c>
      <c r="C117" s="112" t="s">
        <v>11</v>
      </c>
      <c r="D117" s="125"/>
      <c r="E117" s="125"/>
      <c r="F117" s="125"/>
      <c r="G117" s="125"/>
      <c r="H117" s="255" t="s">
        <v>141</v>
      </c>
      <c r="I117" s="124">
        <v>30</v>
      </c>
      <c r="J117" s="272">
        <f>300*1.5</f>
        <v>450</v>
      </c>
      <c r="K117" s="118">
        <f>I117*J117</f>
        <v>13500</v>
      </c>
    </row>
    <row r="118" spans="1:11">
      <c r="A118" s="122"/>
      <c r="B118" s="244"/>
      <c r="C118" s="112"/>
      <c r="D118" s="125"/>
      <c r="E118" s="125"/>
      <c r="F118" s="125"/>
      <c r="G118" s="125"/>
      <c r="H118" s="255"/>
      <c r="I118" s="124"/>
      <c r="J118" s="303"/>
      <c r="K118" s="118"/>
    </row>
    <row r="119" spans="1:11" ht="25.5">
      <c r="A119" s="122">
        <v>5.13</v>
      </c>
      <c r="B119" s="244" t="s">
        <v>384</v>
      </c>
      <c r="C119" s="112" t="s">
        <v>11</v>
      </c>
      <c r="D119" s="125"/>
      <c r="E119" s="125"/>
      <c r="F119" s="125"/>
      <c r="G119" s="125"/>
      <c r="H119" s="125"/>
      <c r="I119" s="258">
        <v>36</v>
      </c>
      <c r="J119" s="117">
        <v>50</v>
      </c>
      <c r="K119" s="118">
        <f>I119*J119</f>
        <v>1800</v>
      </c>
    </row>
    <row r="120" spans="1:11">
      <c r="A120" s="122"/>
      <c r="B120" s="244"/>
      <c r="C120" s="112"/>
      <c r="D120" s="125"/>
      <c r="E120" s="125"/>
      <c r="F120" s="125"/>
      <c r="G120" s="125"/>
      <c r="H120" s="125"/>
      <c r="I120" s="258"/>
      <c r="J120" s="117"/>
      <c r="K120" s="118"/>
    </row>
    <row r="121" spans="1:11" ht="27" customHeight="1">
      <c r="A121" s="122">
        <v>5.14</v>
      </c>
      <c r="B121" s="123" t="s">
        <v>383</v>
      </c>
      <c r="C121" s="112" t="s">
        <v>3</v>
      </c>
      <c r="D121" s="113"/>
      <c r="E121" s="113"/>
      <c r="F121" s="113"/>
      <c r="G121" s="113"/>
      <c r="H121" s="113"/>
      <c r="I121" s="112">
        <v>2</v>
      </c>
      <c r="J121" s="117">
        <v>300</v>
      </c>
      <c r="K121" s="118">
        <f>I121*J121</f>
        <v>600</v>
      </c>
    </row>
    <row r="122" spans="1:11" ht="17.25" customHeight="1">
      <c r="A122" s="122"/>
      <c r="B122" s="123"/>
      <c r="C122" s="112"/>
      <c r="D122" s="113"/>
      <c r="E122" s="113"/>
      <c r="F122" s="113"/>
      <c r="G122" s="113"/>
      <c r="H122" s="113"/>
      <c r="I122" s="434"/>
      <c r="J122" s="117"/>
      <c r="K122" s="118"/>
    </row>
    <row r="123" spans="1:11" ht="38.25">
      <c r="A123" s="122">
        <v>5.15</v>
      </c>
      <c r="B123" s="123" t="s">
        <v>223</v>
      </c>
      <c r="C123" s="112" t="s">
        <v>11</v>
      </c>
      <c r="D123" s="125"/>
      <c r="E123" s="125"/>
      <c r="F123" s="125"/>
      <c r="G123" s="125"/>
      <c r="H123" s="255"/>
      <c r="I123" s="112">
        <v>2</v>
      </c>
      <c r="J123" s="272">
        <v>3000</v>
      </c>
      <c r="K123" s="118">
        <f>I123*J123</f>
        <v>6000</v>
      </c>
    </row>
    <row r="124" spans="1:11">
      <c r="A124" s="119"/>
      <c r="B124" s="252"/>
      <c r="C124" s="112"/>
      <c r="D124" s="125"/>
      <c r="E124" s="125"/>
      <c r="F124" s="125"/>
      <c r="G124" s="125"/>
      <c r="H124" s="125"/>
      <c r="I124" s="230"/>
      <c r="J124" s="230"/>
      <c r="K124" s="118"/>
    </row>
    <row r="125" spans="1:11">
      <c r="A125" s="119">
        <v>5.2</v>
      </c>
      <c r="B125" s="137" t="s">
        <v>86</v>
      </c>
      <c r="C125" s="112"/>
      <c r="D125" s="113"/>
      <c r="E125" s="113"/>
      <c r="F125" s="113"/>
      <c r="G125" s="113"/>
      <c r="H125" s="113"/>
      <c r="I125" s="112"/>
      <c r="J125" s="117"/>
      <c r="K125" s="118"/>
    </row>
    <row r="126" spans="1:11">
      <c r="A126" s="119"/>
      <c r="B126" s="123"/>
      <c r="C126" s="112"/>
      <c r="D126" s="113"/>
      <c r="E126" s="113"/>
      <c r="F126" s="113"/>
      <c r="G126" s="113"/>
      <c r="H126" s="113"/>
      <c r="I126" s="112"/>
      <c r="J126" s="117"/>
      <c r="K126" s="118"/>
    </row>
    <row r="127" spans="1:11">
      <c r="A127" s="122">
        <v>5.21</v>
      </c>
      <c r="B127" s="123" t="s">
        <v>165</v>
      </c>
      <c r="C127" s="112" t="s">
        <v>11</v>
      </c>
      <c r="D127" s="125"/>
      <c r="E127" s="125"/>
      <c r="F127" s="125"/>
      <c r="G127" s="125"/>
      <c r="H127" s="125"/>
      <c r="I127" s="258">
        <v>38</v>
      </c>
      <c r="J127" s="117">
        <v>400</v>
      </c>
      <c r="K127" s="118">
        <f>I127*J127</f>
        <v>15200</v>
      </c>
    </row>
    <row r="128" spans="1:11">
      <c r="A128" s="122"/>
      <c r="B128" s="123"/>
      <c r="C128" s="112"/>
      <c r="D128" s="125"/>
      <c r="E128" s="125"/>
      <c r="F128" s="125"/>
      <c r="G128" s="125"/>
      <c r="H128" s="125"/>
      <c r="I128" s="258"/>
      <c r="J128" s="117"/>
      <c r="K128" s="118"/>
    </row>
    <row r="129" spans="1:11" ht="25.5">
      <c r="A129" s="122">
        <v>5.22</v>
      </c>
      <c r="B129" s="244" t="s">
        <v>221</v>
      </c>
      <c r="C129" s="112" t="s">
        <v>11</v>
      </c>
      <c r="D129" s="125"/>
      <c r="E129" s="125"/>
      <c r="F129" s="125"/>
      <c r="G129" s="125"/>
      <c r="H129" s="125"/>
      <c r="I129" s="258">
        <v>36</v>
      </c>
      <c r="J129" s="117">
        <v>30</v>
      </c>
      <c r="K129" s="118">
        <f>I129*J129</f>
        <v>1080</v>
      </c>
    </row>
    <row r="130" spans="1:11">
      <c r="A130" s="119"/>
      <c r="B130" s="123"/>
      <c r="C130" s="112"/>
      <c r="D130" s="125"/>
      <c r="E130" s="125"/>
      <c r="F130" s="125"/>
      <c r="G130" s="125"/>
      <c r="H130" s="125"/>
      <c r="I130" s="230"/>
      <c r="J130" s="117"/>
      <c r="K130" s="118"/>
    </row>
    <row r="131" spans="1:11" ht="25.5">
      <c r="A131" s="122">
        <v>5.23</v>
      </c>
      <c r="B131" s="123" t="s">
        <v>220</v>
      </c>
      <c r="C131" s="112" t="s">
        <v>11</v>
      </c>
      <c r="D131" s="125"/>
      <c r="E131" s="125"/>
      <c r="F131" s="125"/>
      <c r="G131" s="125"/>
      <c r="H131" s="125"/>
      <c r="I131" s="230">
        <v>1</v>
      </c>
      <c r="J131" s="117">
        <v>70</v>
      </c>
      <c r="K131" s="118">
        <f>I131*J131</f>
        <v>70</v>
      </c>
    </row>
    <row r="132" spans="1:11">
      <c r="A132" s="119"/>
      <c r="B132" s="123"/>
      <c r="C132" s="112"/>
      <c r="D132" s="125"/>
      <c r="E132" s="125"/>
      <c r="F132" s="125"/>
      <c r="G132" s="125"/>
      <c r="H132" s="125"/>
      <c r="I132" s="230"/>
      <c r="J132" s="117"/>
      <c r="K132" s="118"/>
    </row>
    <row r="133" spans="1:11">
      <c r="A133" s="119">
        <v>5.3</v>
      </c>
      <c r="B133" s="136" t="s">
        <v>87</v>
      </c>
      <c r="C133" s="112"/>
      <c r="D133" s="125"/>
      <c r="E133" s="125"/>
      <c r="F133" s="125"/>
      <c r="G133" s="125"/>
      <c r="H133" s="125"/>
      <c r="I133" s="230"/>
      <c r="J133" s="117"/>
      <c r="K133" s="118"/>
    </row>
    <row r="134" spans="1:11">
      <c r="A134" s="122"/>
      <c r="B134" s="165"/>
      <c r="C134" s="112"/>
      <c r="D134" s="125"/>
      <c r="E134" s="125"/>
      <c r="F134" s="125"/>
      <c r="G134" s="125"/>
      <c r="H134" s="125"/>
      <c r="I134" s="230"/>
      <c r="J134" s="117"/>
      <c r="K134" s="118"/>
    </row>
    <row r="135" spans="1:11" ht="69.75" customHeight="1">
      <c r="A135" s="122"/>
      <c r="B135" s="129" t="s">
        <v>211</v>
      </c>
      <c r="C135" s="112"/>
      <c r="D135" s="125"/>
      <c r="E135" s="125"/>
      <c r="F135" s="125"/>
      <c r="G135" s="125"/>
      <c r="H135" s="125"/>
      <c r="I135" s="230"/>
      <c r="J135" s="117"/>
      <c r="K135" s="118"/>
    </row>
    <row r="136" spans="1:11">
      <c r="A136" s="122"/>
      <c r="B136" s="123"/>
      <c r="C136" s="112"/>
      <c r="D136" s="125"/>
      <c r="E136" s="125"/>
      <c r="F136" s="125"/>
      <c r="G136" s="125"/>
      <c r="H136" s="125"/>
      <c r="I136" s="230"/>
      <c r="J136" s="117"/>
      <c r="K136" s="118"/>
    </row>
    <row r="137" spans="1:11">
      <c r="A137" s="122"/>
      <c r="B137" s="244" t="s">
        <v>152</v>
      </c>
      <c r="C137" s="112"/>
      <c r="D137" s="125"/>
      <c r="E137" s="125"/>
      <c r="F137" s="125"/>
      <c r="G137" s="125"/>
      <c r="H137" s="125"/>
      <c r="I137" s="230"/>
      <c r="J137" s="117"/>
      <c r="K137" s="118"/>
    </row>
    <row r="138" spans="1:11">
      <c r="A138" s="122"/>
      <c r="B138" s="165"/>
      <c r="C138" s="112"/>
      <c r="D138" s="125"/>
      <c r="E138" s="125"/>
      <c r="F138" s="125"/>
      <c r="G138" s="125"/>
      <c r="H138" s="125"/>
      <c r="I138" s="230"/>
      <c r="J138" s="117"/>
      <c r="K138" s="118"/>
    </row>
    <row r="139" spans="1:11" ht="25.5">
      <c r="A139" s="399">
        <v>5.31</v>
      </c>
      <c r="B139" s="400" t="s">
        <v>468</v>
      </c>
      <c r="C139" s="410" t="s">
        <v>3</v>
      </c>
      <c r="D139" s="414"/>
      <c r="E139" s="414"/>
      <c r="F139" s="414"/>
      <c r="G139" s="414"/>
      <c r="H139" s="414"/>
      <c r="I139" s="424">
        <v>10</v>
      </c>
      <c r="J139" s="411">
        <v>500</v>
      </c>
      <c r="K139" s="404">
        <f>I139*J139</f>
        <v>5000</v>
      </c>
    </row>
    <row r="140" spans="1:11">
      <c r="A140" s="119"/>
      <c r="B140" s="123"/>
      <c r="C140" s="112"/>
      <c r="D140" s="125"/>
      <c r="E140" s="125"/>
      <c r="F140" s="125"/>
      <c r="G140" s="125"/>
      <c r="H140" s="125"/>
      <c r="I140" s="230"/>
      <c r="J140" s="230"/>
      <c r="K140" s="118"/>
    </row>
    <row r="141" spans="1:11">
      <c r="A141" s="119">
        <v>5.4</v>
      </c>
      <c r="B141" s="136" t="s">
        <v>100</v>
      </c>
      <c r="C141" s="112"/>
      <c r="D141" s="125"/>
      <c r="E141" s="125"/>
      <c r="F141" s="125"/>
      <c r="G141" s="125"/>
      <c r="H141" s="125"/>
      <c r="I141" s="230"/>
      <c r="J141" s="117"/>
      <c r="K141" s="118"/>
    </row>
    <row r="142" spans="1:11">
      <c r="A142" s="122"/>
      <c r="B142" s="165"/>
      <c r="C142" s="112"/>
      <c r="D142" s="125"/>
      <c r="E142" s="125"/>
      <c r="F142" s="125"/>
      <c r="G142" s="125"/>
      <c r="H142" s="125"/>
      <c r="I142" s="230"/>
      <c r="J142" s="117"/>
      <c r="K142" s="118"/>
    </row>
    <row r="143" spans="1:11" ht="25.5">
      <c r="A143" s="399">
        <v>5.41</v>
      </c>
      <c r="B143" s="400" t="s">
        <v>219</v>
      </c>
      <c r="C143" s="410" t="s">
        <v>279</v>
      </c>
      <c r="D143" s="414"/>
      <c r="E143" s="414"/>
      <c r="F143" s="414"/>
      <c r="G143" s="414"/>
      <c r="H143" s="414"/>
      <c r="I143" s="401" t="s">
        <v>124</v>
      </c>
      <c r="J143" s="411">
        <v>25000</v>
      </c>
      <c r="K143" s="404">
        <f>J143</f>
        <v>25000</v>
      </c>
    </row>
    <row r="144" spans="1:11">
      <c r="A144" s="364"/>
      <c r="B144" s="244"/>
      <c r="C144" s="248"/>
      <c r="D144" s="255"/>
      <c r="E144" s="255"/>
      <c r="F144" s="255"/>
      <c r="G144" s="255"/>
      <c r="H144" s="255"/>
      <c r="I144" s="251"/>
      <c r="J144" s="253"/>
      <c r="K144" s="365"/>
    </row>
    <row r="145" spans="1:11" ht="52.5" customHeight="1">
      <c r="A145" s="364">
        <v>5.42</v>
      </c>
      <c r="B145" s="244" t="s">
        <v>429</v>
      </c>
      <c r="C145" s="248" t="s">
        <v>279</v>
      </c>
      <c r="D145" s="255"/>
      <c r="E145" s="255"/>
      <c r="F145" s="255"/>
      <c r="G145" s="255"/>
      <c r="H145" s="255"/>
      <c r="I145" s="251" t="s">
        <v>124</v>
      </c>
      <c r="J145" s="253">
        <v>700</v>
      </c>
      <c r="K145" s="365">
        <f>J145</f>
        <v>700</v>
      </c>
    </row>
    <row r="146" spans="1:11" s="11" customFormat="1">
      <c r="A146" s="119"/>
      <c r="B146" s="129"/>
      <c r="C146" s="79"/>
      <c r="D146" s="113"/>
      <c r="E146" s="113"/>
      <c r="F146" s="113"/>
      <c r="G146" s="113"/>
      <c r="H146" s="113"/>
      <c r="I146" s="112"/>
      <c r="J146" s="117"/>
      <c r="K146" s="118"/>
    </row>
    <row r="147" spans="1:11" s="154" customFormat="1" ht="15">
      <c r="A147" s="487" t="s">
        <v>105</v>
      </c>
      <c r="B147" s="488"/>
      <c r="C147" s="488"/>
      <c r="D147" s="488"/>
      <c r="E147" s="488"/>
      <c r="F147" s="488"/>
      <c r="G147" s="488"/>
      <c r="H147" s="488"/>
      <c r="I147" s="488"/>
      <c r="J147" s="489"/>
      <c r="K147" s="240">
        <f>SUM(K108:K146)</f>
        <v>72190</v>
      </c>
    </row>
    <row r="148" spans="1:11" s="11" customFormat="1" ht="15" customHeight="1">
      <c r="A148" s="498"/>
      <c r="B148" s="499"/>
      <c r="C148" s="499"/>
      <c r="D148" s="499"/>
      <c r="E148" s="499"/>
      <c r="F148" s="499"/>
      <c r="G148" s="499"/>
      <c r="H148" s="499"/>
      <c r="I148" s="499"/>
      <c r="J148" s="499"/>
      <c r="K148" s="500"/>
    </row>
    <row r="149" spans="1:11" s="11" customFormat="1">
      <c r="A149" s="119">
        <v>6</v>
      </c>
      <c r="B149" s="136" t="s">
        <v>110</v>
      </c>
      <c r="C149" s="112"/>
      <c r="D149" s="246"/>
      <c r="E149" s="246"/>
      <c r="F149" s="246"/>
      <c r="G149" s="246"/>
      <c r="H149" s="246"/>
      <c r="I149" s="112"/>
      <c r="J149" s="117"/>
      <c r="K149" s="118"/>
    </row>
    <row r="150" spans="1:11" s="11" customFormat="1">
      <c r="A150" s="119"/>
      <c r="B150" s="136"/>
      <c r="C150" s="112"/>
      <c r="D150" s="246"/>
      <c r="E150" s="246"/>
      <c r="F150" s="246"/>
      <c r="G150" s="246"/>
      <c r="H150" s="246"/>
      <c r="I150" s="112"/>
      <c r="J150" s="117"/>
      <c r="K150" s="118"/>
    </row>
    <row r="151" spans="1:11" s="11" customFormat="1" ht="25.5">
      <c r="A151" s="122">
        <v>6.1</v>
      </c>
      <c r="B151" s="129" t="s">
        <v>238</v>
      </c>
      <c r="C151" s="112" t="s">
        <v>11</v>
      </c>
      <c r="D151" s="246"/>
      <c r="E151" s="246"/>
      <c r="F151" s="246"/>
      <c r="G151" s="246"/>
      <c r="H151" s="246"/>
      <c r="I151" s="124">
        <v>3</v>
      </c>
      <c r="J151" s="117">
        <v>1000</v>
      </c>
      <c r="K151" s="118">
        <f>I151*J151</f>
        <v>3000</v>
      </c>
    </row>
    <row r="152" spans="1:11" s="11" customFormat="1">
      <c r="A152" s="119"/>
      <c r="B152" s="123"/>
      <c r="C152" s="112"/>
      <c r="D152" s="246"/>
      <c r="E152" s="246"/>
      <c r="F152" s="246"/>
      <c r="G152" s="246"/>
      <c r="H152" s="246"/>
      <c r="I152" s="112"/>
      <c r="J152" s="117"/>
      <c r="K152" s="118"/>
    </row>
    <row r="153" spans="1:11" s="154" customFormat="1" ht="15">
      <c r="A153" s="487" t="s">
        <v>106</v>
      </c>
      <c r="B153" s="488"/>
      <c r="C153" s="488"/>
      <c r="D153" s="488"/>
      <c r="E153" s="488"/>
      <c r="F153" s="488"/>
      <c r="G153" s="488"/>
      <c r="H153" s="488"/>
      <c r="I153" s="488"/>
      <c r="J153" s="489"/>
      <c r="K153" s="370">
        <f>SUM(K149:K152)</f>
        <v>3000</v>
      </c>
    </row>
    <row r="154" spans="1:11" ht="15" customHeight="1">
      <c r="A154" s="498"/>
      <c r="B154" s="499"/>
      <c r="C154" s="499"/>
      <c r="D154" s="499"/>
      <c r="E154" s="499"/>
      <c r="F154" s="499"/>
      <c r="G154" s="499"/>
      <c r="H154" s="499"/>
      <c r="I154" s="499"/>
      <c r="J154" s="499"/>
      <c r="K154" s="500"/>
    </row>
    <row r="155" spans="1:11" ht="14.25" customHeight="1">
      <c r="A155" s="497" t="s">
        <v>108</v>
      </c>
      <c r="B155" s="497"/>
      <c r="C155" s="497"/>
      <c r="D155" s="497"/>
      <c r="E155" s="497"/>
      <c r="F155" s="497"/>
      <c r="G155" s="497"/>
      <c r="H155" s="497"/>
      <c r="I155" s="497"/>
      <c r="J155" s="497"/>
      <c r="K155" s="229">
        <f>K35+K61+K75+K107+K147+K153</f>
        <v>884003.0100147503</v>
      </c>
    </row>
    <row r="156" spans="1:11" ht="14.25" customHeight="1">
      <c r="A156" s="497" t="s">
        <v>107</v>
      </c>
      <c r="B156" s="497" t="s">
        <v>7</v>
      </c>
      <c r="C156" s="497"/>
      <c r="D156" s="497"/>
      <c r="E156" s="497"/>
      <c r="F156" s="497"/>
      <c r="G156" s="497"/>
      <c r="H156" s="497"/>
      <c r="I156" s="497"/>
      <c r="J156" s="497"/>
      <c r="K156" s="229">
        <f>0.05*K155</f>
        <v>44200.150500737516</v>
      </c>
    </row>
    <row r="157" spans="1:11">
      <c r="A157" s="497" t="s">
        <v>108</v>
      </c>
      <c r="B157" s="497"/>
      <c r="C157" s="497"/>
      <c r="D157" s="497"/>
      <c r="E157" s="497"/>
      <c r="F157" s="497"/>
      <c r="G157" s="497"/>
      <c r="H157" s="497"/>
      <c r="I157" s="497"/>
      <c r="J157" s="497"/>
      <c r="K157" s="229">
        <f>SUM(K155:K156)</f>
        <v>928203.16051548778</v>
      </c>
    </row>
    <row r="158" spans="1:11" ht="47.25" customHeight="1">
      <c r="A158" s="496" t="s">
        <v>222</v>
      </c>
      <c r="B158" s="496"/>
      <c r="C158" s="496"/>
      <c r="D158" s="496"/>
      <c r="E158" s="496"/>
      <c r="F158" s="496"/>
      <c r="G158" s="496"/>
      <c r="H158" s="496"/>
      <c r="I158" s="496"/>
      <c r="J158" s="496"/>
      <c r="K158" s="496"/>
    </row>
    <row r="160" spans="1:11">
      <c r="B160" s="80"/>
    </row>
  </sheetData>
  <mergeCells count="15">
    <mergeCell ref="A158:K158"/>
    <mergeCell ref="A155:J155"/>
    <mergeCell ref="A156:J156"/>
    <mergeCell ref="A157:J157"/>
    <mergeCell ref="A1:I1"/>
    <mergeCell ref="A2:K2"/>
    <mergeCell ref="D3:H3"/>
    <mergeCell ref="A35:J35"/>
    <mergeCell ref="A61:J61"/>
    <mergeCell ref="A75:J75"/>
    <mergeCell ref="A147:J147"/>
    <mergeCell ref="A107:J107"/>
    <mergeCell ref="A148:K148"/>
    <mergeCell ref="A153:J153"/>
    <mergeCell ref="A154:K154"/>
  </mergeCells>
  <pageMargins left="0.7" right="0.7" top="0.75" bottom="0.75" header="0.3" footer="0.3"/>
  <pageSetup scale="7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9"/>
  <sheetViews>
    <sheetView topLeftCell="A13" zoomScale="80" zoomScaleNormal="80" zoomScaleSheetLayoutView="90" workbookViewId="0">
      <selection activeCell="D23" sqref="D23"/>
    </sheetView>
  </sheetViews>
  <sheetFormatPr defaultColWidth="9.140625" defaultRowHeight="14.25"/>
  <cols>
    <col min="1" max="1" width="9.28515625" style="24" customWidth="1"/>
    <col min="2" max="2" width="60.7109375" style="77" customWidth="1"/>
    <col min="3" max="3" width="9.7109375" style="68" customWidth="1"/>
    <col min="4" max="7" width="10.7109375" style="11" customWidth="1"/>
    <col min="8" max="8" width="33.7109375" style="77" customWidth="1"/>
    <col min="9" max="9" width="10.7109375" style="68" customWidth="1"/>
    <col min="10" max="10" width="18" style="68" customWidth="1"/>
    <col min="11" max="11" width="15.5703125" style="11" bestFit="1" customWidth="1"/>
    <col min="12" max="16384" width="9.140625" style="8"/>
  </cols>
  <sheetData>
    <row r="1" spans="1:11" ht="48.75" customHeight="1">
      <c r="A1" s="485" t="s">
        <v>99</v>
      </c>
      <c r="B1" s="486"/>
      <c r="C1" s="486"/>
      <c r="D1" s="486"/>
      <c r="E1" s="486"/>
      <c r="F1" s="486"/>
      <c r="G1" s="486"/>
      <c r="H1" s="486"/>
      <c r="I1" s="486"/>
      <c r="J1" s="152"/>
      <c r="K1" s="151"/>
    </row>
    <row r="2" spans="1:11" ht="14.25" customHeight="1">
      <c r="A2" s="505" t="s">
        <v>62</v>
      </c>
      <c r="B2" s="505"/>
      <c r="C2" s="505"/>
      <c r="D2" s="505"/>
      <c r="E2" s="505"/>
      <c r="F2" s="505"/>
      <c r="G2" s="505"/>
      <c r="H2" s="505"/>
      <c r="I2" s="505"/>
      <c r="J2" s="505"/>
      <c r="K2" s="505"/>
    </row>
    <row r="3" spans="1:11" ht="14.25" customHeight="1">
      <c r="A3" s="160" t="s">
        <v>0</v>
      </c>
      <c r="B3" s="161" t="s">
        <v>1</v>
      </c>
      <c r="C3" s="162" t="s">
        <v>2</v>
      </c>
      <c r="D3" s="501" t="s">
        <v>32</v>
      </c>
      <c r="E3" s="501"/>
      <c r="F3" s="501"/>
      <c r="G3" s="501"/>
      <c r="H3" s="501"/>
      <c r="I3" s="162" t="s">
        <v>98</v>
      </c>
      <c r="J3" s="162" t="s">
        <v>4</v>
      </c>
      <c r="K3" s="162" t="s">
        <v>5</v>
      </c>
    </row>
    <row r="4" spans="1:11">
      <c r="A4" s="119"/>
      <c r="B4" s="120"/>
      <c r="C4" s="112"/>
      <c r="D4" s="320">
        <v>31.2</v>
      </c>
      <c r="E4" s="320">
        <v>10.8</v>
      </c>
      <c r="F4" s="113"/>
      <c r="G4" s="113"/>
      <c r="H4" s="113"/>
      <c r="I4" s="112"/>
      <c r="J4" s="117"/>
      <c r="K4" s="118"/>
    </row>
    <row r="5" spans="1:11">
      <c r="A5" s="110">
        <v>1</v>
      </c>
      <c r="B5" s="111" t="s">
        <v>8</v>
      </c>
      <c r="C5" s="112"/>
      <c r="D5" s="113"/>
      <c r="E5" s="113"/>
      <c r="F5" s="113"/>
      <c r="G5" s="113"/>
      <c r="H5" s="166"/>
      <c r="I5" s="112"/>
      <c r="J5" s="117"/>
      <c r="K5" s="118"/>
    </row>
    <row r="6" spans="1:11" ht="15">
      <c r="A6" s="121"/>
      <c r="B6" s="111"/>
      <c r="C6" s="112"/>
      <c r="D6" s="113"/>
      <c r="E6" s="113"/>
      <c r="F6" s="113"/>
      <c r="G6" s="113"/>
      <c r="H6" s="166"/>
      <c r="I6" s="112"/>
      <c r="J6" s="117"/>
      <c r="K6" s="118"/>
    </row>
    <row r="7" spans="1:11" ht="38.25">
      <c r="A7" s="122"/>
      <c r="B7" s="123" t="s">
        <v>158</v>
      </c>
      <c r="C7" s="124"/>
      <c r="D7" s="125"/>
      <c r="E7" s="125"/>
      <c r="F7" s="125"/>
      <c r="G7" s="125"/>
      <c r="H7" s="125"/>
      <c r="I7" s="124"/>
      <c r="J7" s="124"/>
      <c r="K7" s="118"/>
    </row>
    <row r="8" spans="1:11">
      <c r="A8" s="122"/>
      <c r="B8" s="123"/>
      <c r="C8" s="124"/>
      <c r="D8" s="125"/>
      <c r="E8" s="125"/>
      <c r="F8" s="125"/>
      <c r="G8" s="125"/>
      <c r="H8" s="125"/>
      <c r="I8" s="124"/>
      <c r="J8" s="124"/>
      <c r="K8" s="118"/>
    </row>
    <row r="9" spans="1:11">
      <c r="A9" s="110">
        <v>1.1000000000000001</v>
      </c>
      <c r="B9" s="111" t="s">
        <v>178</v>
      </c>
      <c r="C9" s="124"/>
      <c r="D9" s="125"/>
      <c r="E9" s="125"/>
      <c r="F9" s="125"/>
      <c r="G9" s="125"/>
      <c r="H9" s="125"/>
      <c r="I9" s="124"/>
      <c r="J9" s="124"/>
      <c r="K9" s="118"/>
    </row>
    <row r="10" spans="1:11">
      <c r="A10" s="122"/>
      <c r="B10" s="123"/>
      <c r="C10" s="124"/>
      <c r="D10" s="125"/>
      <c r="E10" s="125"/>
      <c r="F10" s="125"/>
      <c r="G10" s="125"/>
      <c r="H10" s="125"/>
      <c r="I10" s="124"/>
      <c r="J10" s="124"/>
      <c r="K10" s="118"/>
    </row>
    <row r="11" spans="1:11" ht="38.25">
      <c r="A11" s="122">
        <v>1.1100000000000001</v>
      </c>
      <c r="B11" s="123" t="s">
        <v>242</v>
      </c>
      <c r="C11" s="124" t="s">
        <v>37</v>
      </c>
      <c r="D11" s="246">
        <f>D4+0.4</f>
        <v>31.599999999999998</v>
      </c>
      <c r="E11" s="246">
        <f>E4+0.4</f>
        <v>11.200000000000001</v>
      </c>
      <c r="F11" s="124"/>
      <c r="G11" s="125"/>
      <c r="H11" s="125"/>
      <c r="I11" s="417">
        <f>D11*E11</f>
        <v>353.92</v>
      </c>
      <c r="J11" s="118">
        <v>100</v>
      </c>
      <c r="K11" s="118">
        <f>I11*J11</f>
        <v>35392</v>
      </c>
    </row>
    <row r="12" spans="1:11">
      <c r="A12" s="122"/>
      <c r="B12" s="123"/>
      <c r="C12" s="124"/>
      <c r="D12" s="125"/>
      <c r="E12" s="125"/>
      <c r="F12" s="125"/>
      <c r="G12" s="125"/>
      <c r="H12" s="125"/>
      <c r="I12" s="124"/>
      <c r="J12" s="124"/>
      <c r="K12" s="118"/>
    </row>
    <row r="13" spans="1:11">
      <c r="A13" s="110">
        <v>1.2</v>
      </c>
      <c r="B13" s="111" t="s">
        <v>191</v>
      </c>
      <c r="C13" s="124"/>
      <c r="D13" s="125"/>
      <c r="E13" s="125"/>
      <c r="F13" s="125"/>
      <c r="G13" s="125"/>
      <c r="H13" s="125"/>
      <c r="I13" s="124"/>
      <c r="J13" s="124"/>
      <c r="K13" s="118"/>
    </row>
    <row r="14" spans="1:11">
      <c r="A14" s="122"/>
      <c r="B14" s="123"/>
      <c r="C14" s="124"/>
      <c r="D14" s="125"/>
      <c r="E14" s="125"/>
      <c r="F14" s="125"/>
      <c r="G14" s="125"/>
      <c r="H14" s="125"/>
      <c r="I14" s="124"/>
      <c r="J14" s="124"/>
      <c r="K14" s="118"/>
    </row>
    <row r="15" spans="1:11" ht="29.25" customHeight="1">
      <c r="A15" s="122"/>
      <c r="B15" s="123" t="s">
        <v>243</v>
      </c>
      <c r="C15" s="124"/>
      <c r="D15" s="125"/>
      <c r="E15" s="125"/>
      <c r="F15" s="125"/>
      <c r="G15" s="125"/>
      <c r="H15" s="125"/>
      <c r="I15" s="124"/>
      <c r="J15" s="124"/>
      <c r="K15" s="118"/>
    </row>
    <row r="16" spans="1:11">
      <c r="A16" s="122"/>
      <c r="B16" s="123"/>
      <c r="C16" s="124"/>
      <c r="D16" s="125"/>
      <c r="F16" s="125"/>
      <c r="G16" s="125"/>
      <c r="H16" s="125"/>
      <c r="I16" s="124"/>
      <c r="J16" s="124"/>
      <c r="K16" s="118"/>
    </row>
    <row r="17" spans="1:11" ht="42" customHeight="1">
      <c r="A17" s="399">
        <v>1.21</v>
      </c>
      <c r="B17" s="400" t="s">
        <v>43</v>
      </c>
      <c r="C17" s="401" t="s">
        <v>34</v>
      </c>
      <c r="D17" s="412">
        <f>D11</f>
        <v>31.599999999999998</v>
      </c>
      <c r="E17" s="401">
        <f>E11</f>
        <v>11.200000000000001</v>
      </c>
      <c r="F17" s="412">
        <v>0.75</v>
      </c>
      <c r="G17" s="414"/>
      <c r="H17" s="414"/>
      <c r="I17" s="425">
        <f>D17*E17*F17</f>
        <v>265.44</v>
      </c>
      <c r="J17" s="404">
        <v>250</v>
      </c>
      <c r="K17" s="404">
        <f>I17*J17</f>
        <v>66360</v>
      </c>
    </row>
    <row r="18" spans="1:11" ht="16.5" customHeight="1">
      <c r="A18" s="122"/>
      <c r="B18" s="123"/>
      <c r="C18" s="124"/>
      <c r="D18" s="125"/>
      <c r="E18" s="125"/>
      <c r="F18" s="125"/>
      <c r="G18" s="125"/>
      <c r="H18" s="125"/>
      <c r="I18" s="124"/>
      <c r="J18" s="124"/>
      <c r="K18" s="118"/>
    </row>
    <row r="19" spans="1:11" ht="38.25">
      <c r="A19" s="127">
        <v>1.22</v>
      </c>
      <c r="B19" s="123" t="s">
        <v>363</v>
      </c>
      <c r="C19" s="124" t="s">
        <v>34</v>
      </c>
      <c r="D19" s="125"/>
      <c r="E19" s="125"/>
      <c r="F19" s="125"/>
      <c r="G19" s="125"/>
      <c r="H19" s="255" t="s">
        <v>120</v>
      </c>
      <c r="I19" s="439">
        <f>(I11*0.25)+(0.3*I17)</f>
        <v>168.11199999999999</v>
      </c>
      <c r="J19" s="118">
        <v>350</v>
      </c>
      <c r="K19" s="118">
        <f>I19*J19</f>
        <v>58839.199999999997</v>
      </c>
    </row>
    <row r="20" spans="1:11">
      <c r="A20" s="127"/>
      <c r="B20" s="123"/>
      <c r="C20" s="124"/>
      <c r="D20" s="125"/>
      <c r="E20" s="125"/>
      <c r="F20" s="125"/>
      <c r="G20" s="125"/>
      <c r="H20" s="125"/>
      <c r="I20" s="124"/>
      <c r="J20" s="124"/>
      <c r="K20" s="118"/>
    </row>
    <row r="21" spans="1:11" ht="36" customHeight="1">
      <c r="A21" s="405">
        <v>1.23</v>
      </c>
      <c r="B21" s="406" t="s">
        <v>466</v>
      </c>
      <c r="C21" s="407" t="s">
        <v>34</v>
      </c>
      <c r="D21" s="415"/>
      <c r="E21" s="415"/>
      <c r="F21" s="415"/>
      <c r="G21" s="415"/>
      <c r="H21" s="408" t="s">
        <v>204</v>
      </c>
      <c r="I21" s="428">
        <f>60%*(SUM($I17))</f>
        <v>159.26399999999998</v>
      </c>
      <c r="J21" s="404">
        <v>600</v>
      </c>
      <c r="K21" s="404">
        <f>I21*J21</f>
        <v>95558.399999999994</v>
      </c>
    </row>
    <row r="22" spans="1:11">
      <c r="A22" s="128"/>
      <c r="B22" s="129"/>
      <c r="C22" s="130"/>
      <c r="D22" s="131"/>
      <c r="E22" s="131"/>
      <c r="F22" s="131"/>
      <c r="G22" s="131"/>
      <c r="H22" s="264"/>
      <c r="I22" s="130"/>
      <c r="J22" s="124"/>
      <c r="K22" s="118"/>
    </row>
    <row r="23" spans="1:11" ht="36.75" customHeight="1">
      <c r="A23" s="405">
        <v>1.24</v>
      </c>
      <c r="B23" s="406" t="s">
        <v>35</v>
      </c>
      <c r="C23" s="407" t="s">
        <v>34</v>
      </c>
      <c r="D23" s="415"/>
      <c r="E23" s="415"/>
      <c r="F23" s="415"/>
      <c r="G23" s="415"/>
      <c r="H23" s="408" t="s">
        <v>153</v>
      </c>
      <c r="I23" s="428">
        <f>30%*(SUM($I17))</f>
        <v>79.631999999999991</v>
      </c>
      <c r="J23" s="404">
        <v>960</v>
      </c>
      <c r="K23" s="404">
        <f>I23*J23</f>
        <v>76446.719999999987</v>
      </c>
    </row>
    <row r="24" spans="1:11">
      <c r="A24" s="128"/>
      <c r="B24" s="129"/>
      <c r="C24" s="130"/>
      <c r="D24" s="131"/>
      <c r="E24" s="131"/>
      <c r="F24" s="131"/>
      <c r="G24" s="131"/>
      <c r="H24" s="264"/>
      <c r="I24" s="130"/>
      <c r="J24" s="124"/>
      <c r="K24" s="118"/>
    </row>
    <row r="25" spans="1:11" ht="25.5">
      <c r="A25" s="405">
        <v>1.25</v>
      </c>
      <c r="B25" s="406" t="s">
        <v>36</v>
      </c>
      <c r="C25" s="407" t="s">
        <v>34</v>
      </c>
      <c r="D25" s="415"/>
      <c r="E25" s="415"/>
      <c r="F25" s="415"/>
      <c r="G25" s="415"/>
      <c r="H25" s="408" t="s">
        <v>215</v>
      </c>
      <c r="I25" s="428">
        <f>10%*(SUM($I17))</f>
        <v>26.544</v>
      </c>
      <c r="J25" s="404">
        <v>1800</v>
      </c>
      <c r="K25" s="404">
        <f>I25*J25</f>
        <v>47779.200000000004</v>
      </c>
    </row>
    <row r="26" spans="1:11">
      <c r="A26" s="128"/>
      <c r="B26" s="129"/>
      <c r="C26" s="130"/>
      <c r="D26" s="131"/>
      <c r="E26" s="131"/>
      <c r="F26" s="131"/>
      <c r="G26" s="131"/>
      <c r="H26" s="318"/>
      <c r="I26" s="130"/>
      <c r="J26" s="118"/>
      <c r="K26" s="118"/>
    </row>
    <row r="27" spans="1:11">
      <c r="A27" s="133">
        <v>1.3</v>
      </c>
      <c r="B27" s="111" t="s">
        <v>336</v>
      </c>
      <c r="C27" s="130"/>
      <c r="D27" s="131"/>
      <c r="E27" s="131"/>
      <c r="F27" s="131"/>
      <c r="G27" s="131"/>
      <c r="H27" s="318"/>
      <c r="I27" s="130"/>
      <c r="J27" s="118"/>
      <c r="K27" s="118"/>
    </row>
    <row r="28" spans="1:11">
      <c r="A28" s="128"/>
      <c r="B28" s="129"/>
      <c r="C28" s="130"/>
      <c r="D28" s="131"/>
      <c r="E28" s="131"/>
      <c r="F28" s="131"/>
      <c r="G28" s="131"/>
      <c r="H28" s="318"/>
      <c r="I28" s="130"/>
      <c r="J28" s="118"/>
      <c r="K28" s="118"/>
    </row>
    <row r="29" spans="1:11" ht="51">
      <c r="A29" s="405">
        <v>1.31</v>
      </c>
      <c r="B29" s="406" t="s">
        <v>389</v>
      </c>
      <c r="C29" s="407" t="s">
        <v>34</v>
      </c>
      <c r="D29" s="415">
        <v>0.23699999999999999</v>
      </c>
      <c r="E29" s="415"/>
      <c r="F29" s="415">
        <v>10.4</v>
      </c>
      <c r="G29" s="415">
        <v>14.6</v>
      </c>
      <c r="H29" s="408"/>
      <c r="I29" s="407">
        <f>((F29+G29)*4)*D29</f>
        <v>23.7</v>
      </c>
      <c r="J29" s="404">
        <v>450</v>
      </c>
      <c r="K29" s="404">
        <f>I29*J29</f>
        <v>10665</v>
      </c>
    </row>
    <row r="30" spans="1:11">
      <c r="A30" s="122"/>
      <c r="B30" s="123"/>
      <c r="C30" s="230"/>
      <c r="D30" s="125"/>
      <c r="E30" s="125"/>
      <c r="F30" s="125"/>
      <c r="G30" s="125"/>
      <c r="H30" s="125"/>
      <c r="I30" s="230"/>
      <c r="J30" s="230"/>
      <c r="K30" s="118"/>
    </row>
    <row r="31" spans="1:11">
      <c r="A31" s="110">
        <v>1.4</v>
      </c>
      <c r="B31" s="111" t="s">
        <v>180</v>
      </c>
      <c r="C31" s="132"/>
      <c r="D31" s="131"/>
      <c r="E31" s="131"/>
      <c r="F31" s="131"/>
      <c r="G31" s="131"/>
      <c r="H31" s="131"/>
      <c r="I31" s="132"/>
      <c r="J31" s="230"/>
      <c r="K31" s="118"/>
    </row>
    <row r="32" spans="1:11">
      <c r="A32" s="133"/>
      <c r="B32" s="129"/>
      <c r="C32" s="132"/>
      <c r="D32" s="131"/>
      <c r="E32" s="131"/>
      <c r="F32" s="131"/>
      <c r="G32" s="131"/>
      <c r="H32" s="131"/>
      <c r="I32" s="132"/>
      <c r="J32" s="230"/>
      <c r="K32" s="118"/>
    </row>
    <row r="33" spans="1:11" ht="38.25">
      <c r="A33" s="128">
        <v>1.41</v>
      </c>
      <c r="B33" s="129" t="s">
        <v>388</v>
      </c>
      <c r="C33" s="155" t="s">
        <v>37</v>
      </c>
      <c r="D33" s="131">
        <v>14.2</v>
      </c>
      <c r="E33" s="131">
        <v>10</v>
      </c>
      <c r="F33" s="131"/>
      <c r="G33" s="440"/>
      <c r="H33" s="131"/>
      <c r="I33" s="441">
        <f>2*D33*E33</f>
        <v>284</v>
      </c>
      <c r="J33" s="117">
        <v>100</v>
      </c>
      <c r="K33" s="118">
        <f>I33*J33</f>
        <v>28400</v>
      </c>
    </row>
    <row r="34" spans="1:11">
      <c r="A34" s="133"/>
      <c r="B34" s="129"/>
      <c r="C34" s="132"/>
      <c r="D34" s="8"/>
      <c r="E34" s="131"/>
      <c r="F34" s="131"/>
      <c r="G34" s="131"/>
      <c r="H34" s="131"/>
      <c r="I34" s="132"/>
      <c r="J34" s="230"/>
      <c r="K34" s="118"/>
    </row>
    <row r="35" spans="1:11" ht="27.75" customHeight="1">
      <c r="A35" s="122">
        <v>1.42</v>
      </c>
      <c r="B35" s="123" t="s">
        <v>386</v>
      </c>
      <c r="C35" s="112" t="s">
        <v>34</v>
      </c>
      <c r="D35" s="256">
        <v>1</v>
      </c>
      <c r="E35" s="126">
        <v>8.9</v>
      </c>
      <c r="F35" s="125">
        <v>0.25</v>
      </c>
      <c r="G35" s="8"/>
      <c r="H35" s="125"/>
      <c r="I35" s="438">
        <f>D35*E35*F35</f>
        <v>2.2250000000000001</v>
      </c>
      <c r="J35" s="117">
        <v>980</v>
      </c>
      <c r="K35" s="118">
        <f>I35*J35</f>
        <v>2180.5</v>
      </c>
    </row>
    <row r="36" spans="1:11">
      <c r="A36" s="122"/>
      <c r="B36" s="123"/>
      <c r="C36" s="124"/>
      <c r="D36" s="125"/>
      <c r="E36" s="125"/>
      <c r="F36" s="125"/>
      <c r="G36" s="125"/>
      <c r="H36" s="125"/>
      <c r="I36" s="124"/>
      <c r="J36" s="124"/>
      <c r="K36" s="118"/>
    </row>
    <row r="37" spans="1:11" s="154" customFormat="1" ht="15">
      <c r="A37" s="487" t="s">
        <v>111</v>
      </c>
      <c r="B37" s="488"/>
      <c r="C37" s="488"/>
      <c r="D37" s="488"/>
      <c r="E37" s="488"/>
      <c r="F37" s="488"/>
      <c r="G37" s="488"/>
      <c r="H37" s="488"/>
      <c r="I37" s="488"/>
      <c r="J37" s="489"/>
      <c r="K37" s="240">
        <f>SUM(K4:K36)</f>
        <v>421621.02</v>
      </c>
    </row>
    <row r="38" spans="1:11" s="154" customFormat="1" ht="15">
      <c r="A38" s="107"/>
      <c r="B38" s="267"/>
      <c r="C38" s="147"/>
      <c r="D38" s="325"/>
      <c r="E38" s="325"/>
      <c r="F38" s="325"/>
      <c r="G38" s="325"/>
      <c r="H38" s="325"/>
      <c r="I38" s="147"/>
      <c r="J38" s="148"/>
      <c r="K38" s="149"/>
    </row>
    <row r="39" spans="1:11">
      <c r="A39" s="110">
        <v>2</v>
      </c>
      <c r="B39" s="111" t="s">
        <v>116</v>
      </c>
      <c r="C39" s="112"/>
      <c r="D39" s="113"/>
      <c r="E39" s="113"/>
      <c r="F39" s="113"/>
      <c r="G39" s="113"/>
      <c r="H39" s="113"/>
      <c r="I39" s="112"/>
      <c r="J39" s="117"/>
      <c r="K39" s="118"/>
    </row>
    <row r="40" spans="1:11">
      <c r="A40" s="110"/>
      <c r="B40" s="111"/>
      <c r="C40" s="112"/>
      <c r="D40" s="113"/>
      <c r="E40" s="113"/>
      <c r="F40" s="113"/>
      <c r="G40" s="113"/>
      <c r="H40" s="113"/>
      <c r="I40" s="112"/>
      <c r="J40" s="117"/>
      <c r="K40" s="118"/>
    </row>
    <row r="41" spans="1:11">
      <c r="A41" s="119">
        <v>2.1</v>
      </c>
      <c r="B41" s="136" t="s">
        <v>282</v>
      </c>
      <c r="C41" s="112"/>
      <c r="D41" s="113"/>
      <c r="E41" s="113"/>
      <c r="F41" s="113"/>
      <c r="G41" s="113"/>
      <c r="H41" s="113"/>
      <c r="I41" s="112"/>
      <c r="J41" s="117"/>
      <c r="K41" s="118"/>
    </row>
    <row r="42" spans="1:11">
      <c r="A42" s="119"/>
      <c r="B42" s="129"/>
      <c r="C42" s="112"/>
      <c r="D42" s="113"/>
      <c r="E42" s="113"/>
      <c r="F42" s="113"/>
      <c r="G42" s="113"/>
      <c r="H42" s="113"/>
      <c r="I42" s="112"/>
      <c r="J42" s="117"/>
      <c r="K42" s="118"/>
    </row>
    <row r="43" spans="1:11" ht="28.5" customHeight="1">
      <c r="A43" s="132">
        <v>2.11</v>
      </c>
      <c r="B43" s="129" t="s">
        <v>448</v>
      </c>
      <c r="C43" s="112" t="s">
        <v>37</v>
      </c>
      <c r="D43" s="125"/>
      <c r="E43" s="125"/>
      <c r="F43" s="125"/>
      <c r="G43" s="125"/>
      <c r="H43" s="125"/>
      <c r="I43" s="438">
        <f>D35*E35</f>
        <v>8.9</v>
      </c>
      <c r="J43" s="117">
        <v>150</v>
      </c>
      <c r="K43" s="118">
        <f>I43*J43</f>
        <v>1335</v>
      </c>
    </row>
    <row r="44" spans="1:11">
      <c r="A44" s="119"/>
      <c r="B44" s="238"/>
      <c r="C44" s="112"/>
      <c r="D44" s="113"/>
      <c r="E44" s="113"/>
      <c r="F44" s="113"/>
      <c r="G44" s="113"/>
      <c r="H44" s="113"/>
      <c r="I44" s="112"/>
      <c r="J44" s="117"/>
      <c r="K44" s="118"/>
    </row>
    <row r="45" spans="1:11">
      <c r="A45" s="110">
        <v>2.2000000000000002</v>
      </c>
      <c r="B45" s="111" t="s">
        <v>48</v>
      </c>
      <c r="C45" s="112"/>
      <c r="D45" s="113"/>
      <c r="E45" s="113"/>
      <c r="F45" s="113"/>
      <c r="G45" s="113"/>
      <c r="H45" s="113"/>
      <c r="I45" s="112"/>
      <c r="J45" s="117"/>
      <c r="K45" s="118"/>
    </row>
    <row r="46" spans="1:11" ht="15">
      <c r="A46" s="110"/>
      <c r="B46" s="114"/>
      <c r="C46" s="112"/>
      <c r="D46" s="113"/>
      <c r="E46" s="113"/>
      <c r="F46" s="113"/>
      <c r="G46" s="113"/>
      <c r="H46" s="113"/>
      <c r="I46" s="112"/>
      <c r="J46" s="117"/>
      <c r="K46" s="118"/>
    </row>
    <row r="47" spans="1:11" ht="51">
      <c r="A47" s="122">
        <v>2.21</v>
      </c>
      <c r="B47" s="123" t="s">
        <v>449</v>
      </c>
      <c r="C47" s="112" t="s">
        <v>37</v>
      </c>
      <c r="D47" s="245"/>
      <c r="E47" s="113"/>
      <c r="F47" s="113"/>
      <c r="G47" s="113"/>
      <c r="H47" s="113"/>
      <c r="I47" s="422">
        <f>E35*D35</f>
        <v>8.9</v>
      </c>
      <c r="J47" s="117">
        <v>495</v>
      </c>
      <c r="K47" s="118">
        <f>I47*J47</f>
        <v>4405.5</v>
      </c>
    </row>
    <row r="48" spans="1:11">
      <c r="A48" s="122"/>
      <c r="B48" s="123"/>
      <c r="C48" s="112"/>
      <c r="D48" s="113"/>
      <c r="E48" s="113"/>
      <c r="F48" s="113"/>
      <c r="G48" s="113"/>
      <c r="H48" s="113"/>
      <c r="I48" s="112"/>
      <c r="J48" s="117"/>
      <c r="K48" s="118"/>
    </row>
    <row r="49" spans="1:11" ht="51">
      <c r="A49" s="128">
        <v>2.2200000000000002</v>
      </c>
      <c r="B49" s="123" t="s">
        <v>450</v>
      </c>
      <c r="C49" s="130" t="s">
        <v>34</v>
      </c>
      <c r="D49" s="245">
        <v>1</v>
      </c>
      <c r="E49" s="113">
        <v>8.9</v>
      </c>
      <c r="F49" s="113">
        <v>0.15</v>
      </c>
      <c r="G49" s="113"/>
      <c r="H49" s="113"/>
      <c r="I49" s="438">
        <f>D49*E49*F49</f>
        <v>1.335</v>
      </c>
      <c r="J49" s="117">
        <v>10000</v>
      </c>
      <c r="K49" s="118">
        <f>I49*J49</f>
        <v>13350</v>
      </c>
    </row>
    <row r="50" spans="1:11">
      <c r="A50" s="122"/>
      <c r="B50" s="120"/>
      <c r="C50" s="112"/>
      <c r="D50" s="113"/>
      <c r="E50" s="113"/>
      <c r="F50" s="113"/>
      <c r="G50" s="113"/>
      <c r="H50" s="113"/>
      <c r="I50" s="112"/>
      <c r="J50" s="117"/>
      <c r="K50" s="118"/>
    </row>
    <row r="51" spans="1:11">
      <c r="A51" s="119">
        <v>2.2999999999999998</v>
      </c>
      <c r="B51" s="136" t="s">
        <v>82</v>
      </c>
      <c r="C51" s="112"/>
      <c r="D51" s="113"/>
      <c r="E51" s="113"/>
      <c r="F51" s="113"/>
      <c r="G51" s="113"/>
      <c r="H51" s="113"/>
      <c r="I51" s="112"/>
      <c r="J51" s="117"/>
      <c r="K51" s="118"/>
    </row>
    <row r="52" spans="1:11">
      <c r="A52" s="119"/>
      <c r="B52" s="136"/>
      <c r="C52" s="112"/>
      <c r="D52" s="113"/>
      <c r="E52" s="113"/>
      <c r="F52" s="113"/>
      <c r="G52" s="113"/>
      <c r="H52" s="113"/>
      <c r="I52" s="112"/>
      <c r="J52" s="117"/>
      <c r="K52" s="118"/>
    </row>
    <row r="53" spans="1:11" ht="63.75">
      <c r="A53" s="122">
        <v>2.31</v>
      </c>
      <c r="B53" s="129" t="s">
        <v>462</v>
      </c>
      <c r="C53" s="112" t="s">
        <v>37</v>
      </c>
      <c r="D53" s="245"/>
      <c r="E53" s="245"/>
      <c r="F53" s="113"/>
      <c r="G53" s="113"/>
      <c r="H53" s="113"/>
      <c r="I53" s="422">
        <f>I47</f>
        <v>8.9</v>
      </c>
      <c r="J53" s="253">
        <v>450</v>
      </c>
      <c r="K53" s="118">
        <f>I53*J53</f>
        <v>4005</v>
      </c>
    </row>
    <row r="54" spans="1:11">
      <c r="A54" s="122"/>
      <c r="B54" s="129"/>
      <c r="C54" s="112"/>
      <c r="D54" s="113"/>
      <c r="E54" s="113"/>
      <c r="F54" s="113"/>
      <c r="G54" s="113"/>
      <c r="H54" s="113"/>
      <c r="I54" s="112"/>
      <c r="J54" s="117"/>
      <c r="K54" s="118"/>
    </row>
    <row r="55" spans="1:11">
      <c r="A55" s="119">
        <v>2.4</v>
      </c>
      <c r="B55" s="136" t="s">
        <v>118</v>
      </c>
      <c r="C55" s="112"/>
      <c r="D55" s="125"/>
      <c r="E55" s="125"/>
      <c r="F55" s="125"/>
      <c r="G55" s="125"/>
      <c r="H55" s="125"/>
      <c r="I55" s="113"/>
      <c r="J55" s="125"/>
      <c r="K55" s="118"/>
    </row>
    <row r="56" spans="1:11">
      <c r="A56" s="119"/>
      <c r="B56" s="136"/>
      <c r="C56" s="112"/>
      <c r="D56" s="125"/>
      <c r="E56" s="125"/>
      <c r="F56" s="125"/>
      <c r="G56" s="125"/>
      <c r="H56" s="125"/>
      <c r="I56" s="113"/>
      <c r="J56" s="125"/>
      <c r="K56" s="118"/>
    </row>
    <row r="57" spans="1:11" ht="38.25">
      <c r="A57" s="122">
        <v>2.41</v>
      </c>
      <c r="B57" s="129" t="s">
        <v>390</v>
      </c>
      <c r="C57" s="130" t="s">
        <v>37</v>
      </c>
      <c r="D57" s="245"/>
      <c r="E57" s="245"/>
      <c r="F57" s="113"/>
      <c r="G57" s="125"/>
      <c r="H57" s="125"/>
      <c r="I57" s="422">
        <f>I53</f>
        <v>8.9</v>
      </c>
      <c r="J57" s="117">
        <v>320</v>
      </c>
      <c r="K57" s="118">
        <f>I57*J57</f>
        <v>2848</v>
      </c>
    </row>
    <row r="58" spans="1:11">
      <c r="A58" s="128"/>
      <c r="B58" s="120"/>
      <c r="C58" s="112"/>
      <c r="D58" s="245"/>
      <c r="E58" s="246"/>
      <c r="F58" s="246"/>
      <c r="G58" s="113"/>
      <c r="H58" s="113"/>
      <c r="I58" s="112"/>
      <c r="J58" s="117"/>
      <c r="K58" s="118"/>
    </row>
    <row r="59" spans="1:11">
      <c r="A59" s="133">
        <v>2.5</v>
      </c>
      <c r="B59" s="137" t="s">
        <v>391</v>
      </c>
      <c r="C59" s="112"/>
      <c r="D59" s="245"/>
      <c r="E59" s="246"/>
      <c r="F59" s="246"/>
      <c r="G59" s="113"/>
      <c r="H59" s="113"/>
      <c r="I59" s="112"/>
      <c r="J59" s="117"/>
      <c r="K59" s="144"/>
    </row>
    <row r="60" spans="1:11">
      <c r="A60" s="128"/>
      <c r="B60" s="120"/>
      <c r="C60" s="112"/>
      <c r="D60" s="245"/>
      <c r="E60" s="246"/>
      <c r="F60" s="246"/>
      <c r="G60" s="113"/>
      <c r="H60" s="113"/>
      <c r="I60" s="112"/>
      <c r="J60" s="117"/>
      <c r="K60" s="144"/>
    </row>
    <row r="61" spans="1:11" s="11" customFormat="1" ht="95.25" customHeight="1">
      <c r="A61" s="128">
        <v>2.5099999999999998</v>
      </c>
      <c r="B61" s="244" t="s">
        <v>337</v>
      </c>
      <c r="C61" s="112" t="s">
        <v>11</v>
      </c>
      <c r="D61" s="113"/>
      <c r="E61" s="113"/>
      <c r="F61" s="113"/>
      <c r="G61" s="113"/>
      <c r="H61" s="113"/>
      <c r="I61" s="112">
        <v>22</v>
      </c>
      <c r="J61" s="442">
        <v>1000</v>
      </c>
      <c r="K61" s="144">
        <f>I61*J61</f>
        <v>22000</v>
      </c>
    </row>
    <row r="62" spans="1:11" s="154" customFormat="1" ht="15">
      <c r="A62" s="119"/>
      <c r="B62" s="323"/>
      <c r="C62" s="112"/>
      <c r="D62" s="113"/>
      <c r="E62" s="113"/>
      <c r="F62" s="113"/>
      <c r="G62" s="113"/>
      <c r="H62" s="166"/>
      <c r="I62" s="112"/>
      <c r="J62" s="117"/>
      <c r="K62" s="118"/>
    </row>
    <row r="63" spans="1:11" s="11" customFormat="1">
      <c r="A63" s="487" t="s">
        <v>102</v>
      </c>
      <c r="B63" s="488"/>
      <c r="C63" s="488"/>
      <c r="D63" s="488"/>
      <c r="E63" s="488"/>
      <c r="F63" s="488"/>
      <c r="G63" s="488"/>
      <c r="H63" s="488"/>
      <c r="I63" s="488"/>
      <c r="J63" s="489"/>
      <c r="K63" s="322">
        <f>SUM(K39:K62)</f>
        <v>47943.5</v>
      </c>
    </row>
    <row r="64" spans="1:11" s="154" customFormat="1" ht="15">
      <c r="A64" s="107"/>
      <c r="B64" s="267"/>
      <c r="C64" s="147"/>
      <c r="D64" s="325"/>
      <c r="E64" s="325"/>
      <c r="F64" s="325"/>
      <c r="G64" s="325"/>
      <c r="H64" s="325"/>
      <c r="I64" s="147"/>
      <c r="J64" s="148"/>
      <c r="K64" s="149"/>
    </row>
    <row r="65" spans="1:11">
      <c r="A65" s="110">
        <v>3</v>
      </c>
      <c r="B65" s="111" t="s">
        <v>42</v>
      </c>
      <c r="C65" s="112"/>
      <c r="D65" s="113"/>
      <c r="E65" s="113"/>
      <c r="F65" s="113"/>
      <c r="G65" s="113"/>
      <c r="H65" s="113"/>
      <c r="I65" s="112"/>
      <c r="J65" s="117"/>
      <c r="K65" s="118"/>
    </row>
    <row r="66" spans="1:11">
      <c r="A66" s="110"/>
      <c r="B66" s="111"/>
      <c r="C66" s="112"/>
      <c r="D66" s="113"/>
      <c r="E66" s="113"/>
      <c r="F66" s="113"/>
      <c r="G66" s="113"/>
      <c r="H66" s="113"/>
      <c r="I66" s="112"/>
      <c r="J66" s="117"/>
      <c r="K66" s="118"/>
    </row>
    <row r="67" spans="1:11">
      <c r="A67" s="119">
        <v>3.1</v>
      </c>
      <c r="B67" s="111" t="s">
        <v>188</v>
      </c>
      <c r="C67" s="112"/>
      <c r="D67" s="113"/>
      <c r="E67" s="113"/>
      <c r="F67" s="113"/>
      <c r="G67" s="113"/>
      <c r="H67" s="113"/>
      <c r="I67" s="112"/>
      <c r="J67" s="117"/>
      <c r="K67" s="118"/>
    </row>
    <row r="68" spans="1:11">
      <c r="A68" s="128"/>
      <c r="B68" s="120"/>
      <c r="C68" s="112"/>
      <c r="D68" s="245"/>
      <c r="E68" s="246"/>
      <c r="F68" s="246"/>
      <c r="G68" s="113"/>
      <c r="H68" s="113"/>
      <c r="I68" s="112"/>
      <c r="J68" s="117"/>
      <c r="K68" s="118"/>
    </row>
    <row r="69" spans="1:11" ht="44.25" customHeight="1">
      <c r="A69" s="122"/>
      <c r="B69" s="129" t="s">
        <v>259</v>
      </c>
      <c r="C69" s="112"/>
      <c r="D69" s="113"/>
      <c r="E69" s="113"/>
      <c r="F69" s="113"/>
      <c r="G69" s="113"/>
      <c r="H69" s="113"/>
      <c r="I69" s="112"/>
      <c r="J69" s="117"/>
      <c r="K69" s="118"/>
    </row>
    <row r="70" spans="1:11" ht="15" customHeight="1">
      <c r="A70" s="119"/>
      <c r="B70" s="129"/>
      <c r="C70" s="141"/>
      <c r="D70" s="142"/>
      <c r="E70" s="142"/>
      <c r="F70" s="142"/>
      <c r="G70" s="142"/>
      <c r="H70" s="142"/>
      <c r="I70" s="141"/>
      <c r="J70" s="117"/>
      <c r="K70" s="144"/>
    </row>
    <row r="71" spans="1:11" ht="15.75">
      <c r="A71" s="128">
        <v>3.11</v>
      </c>
      <c r="B71" s="123" t="s">
        <v>385</v>
      </c>
      <c r="C71" s="155" t="s">
        <v>37</v>
      </c>
      <c r="D71" s="326">
        <v>1.2</v>
      </c>
      <c r="E71" s="142">
        <v>8.9</v>
      </c>
      <c r="F71" s="269">
        <v>0.7</v>
      </c>
      <c r="G71" s="268"/>
      <c r="H71" s="268"/>
      <c r="I71" s="437">
        <f>2*((D71*E71)+(F71*D71))</f>
        <v>23.04</v>
      </c>
      <c r="J71" s="442">
        <v>2200</v>
      </c>
      <c r="K71" s="144">
        <f>I71*J71</f>
        <v>50688</v>
      </c>
    </row>
    <row r="72" spans="1:11">
      <c r="A72" s="128"/>
      <c r="B72" s="123"/>
      <c r="C72" s="155"/>
      <c r="D72" s="326"/>
      <c r="E72" s="142"/>
      <c r="F72" s="269"/>
      <c r="G72" s="268"/>
      <c r="H72" s="268"/>
      <c r="I72" s="437"/>
      <c r="J72" s="442"/>
      <c r="K72" s="144"/>
    </row>
    <row r="73" spans="1:11">
      <c r="A73" s="119">
        <v>3.2</v>
      </c>
      <c r="B73" s="136" t="s">
        <v>177</v>
      </c>
      <c r="C73" s="112"/>
      <c r="D73" s="113"/>
      <c r="E73" s="113"/>
      <c r="F73" s="113"/>
      <c r="G73" s="113"/>
      <c r="H73" s="113"/>
      <c r="I73" s="112"/>
      <c r="J73" s="442"/>
      <c r="K73" s="118"/>
    </row>
    <row r="74" spans="1:11">
      <c r="A74" s="119"/>
      <c r="B74" s="129"/>
      <c r="C74" s="112"/>
      <c r="D74" s="113"/>
      <c r="E74" s="113"/>
      <c r="F74" s="113"/>
      <c r="G74" s="113"/>
      <c r="H74" s="113"/>
      <c r="I74" s="112"/>
      <c r="J74" s="442"/>
      <c r="K74" s="118"/>
    </row>
    <row r="75" spans="1:11" ht="15.75">
      <c r="A75" s="122">
        <v>3.21</v>
      </c>
      <c r="B75" s="123" t="s">
        <v>207</v>
      </c>
      <c r="C75" s="112" t="s">
        <v>37</v>
      </c>
      <c r="D75" s="113"/>
      <c r="E75" s="113"/>
      <c r="F75" s="113"/>
      <c r="G75" s="113"/>
      <c r="H75" s="245"/>
      <c r="I75" s="422">
        <f>I71*2</f>
        <v>46.08</v>
      </c>
      <c r="J75" s="442">
        <v>550</v>
      </c>
      <c r="K75" s="118">
        <f>I75*J75</f>
        <v>25344</v>
      </c>
    </row>
    <row r="76" spans="1:11" s="11" customFormat="1">
      <c r="A76" s="107"/>
      <c r="B76" s="267"/>
      <c r="C76" s="112"/>
      <c r="D76" s="113"/>
      <c r="E76" s="113"/>
      <c r="F76" s="113"/>
      <c r="G76" s="113"/>
      <c r="H76" s="113"/>
      <c r="I76" s="112"/>
      <c r="J76" s="442"/>
      <c r="K76" s="118"/>
    </row>
    <row r="77" spans="1:11" s="11" customFormat="1">
      <c r="A77" s="487" t="s">
        <v>103</v>
      </c>
      <c r="B77" s="488"/>
      <c r="C77" s="488"/>
      <c r="D77" s="488"/>
      <c r="E77" s="488"/>
      <c r="F77" s="488"/>
      <c r="G77" s="488"/>
      <c r="H77" s="488"/>
      <c r="I77" s="488"/>
      <c r="J77" s="489"/>
      <c r="K77" s="398">
        <f>SUM(K65:K76)</f>
        <v>76032</v>
      </c>
    </row>
    <row r="78" spans="1:11" s="11" customFormat="1">
      <c r="A78" s="107"/>
      <c r="B78" s="267"/>
      <c r="C78" s="147"/>
      <c r="D78" s="325"/>
      <c r="E78" s="325"/>
      <c r="F78" s="325"/>
      <c r="G78" s="325"/>
      <c r="H78" s="325"/>
      <c r="I78" s="147"/>
      <c r="J78" s="148"/>
      <c r="K78" s="149"/>
    </row>
    <row r="79" spans="1:11">
      <c r="A79" s="119">
        <v>4</v>
      </c>
      <c r="B79" s="136" t="s">
        <v>14</v>
      </c>
      <c r="C79" s="147"/>
      <c r="D79" s="270"/>
      <c r="E79" s="270"/>
      <c r="F79" s="270"/>
      <c r="G79" s="270"/>
      <c r="H79" s="146"/>
      <c r="I79" s="271"/>
      <c r="J79" s="271"/>
      <c r="K79" s="149"/>
    </row>
    <row r="80" spans="1:11">
      <c r="A80" s="119"/>
      <c r="B80" s="123"/>
      <c r="C80" s="112"/>
      <c r="D80" s="113"/>
      <c r="E80" s="113"/>
      <c r="F80" s="113"/>
      <c r="G80" s="113"/>
      <c r="H80" s="123"/>
      <c r="I80" s="112"/>
      <c r="J80" s="117"/>
      <c r="K80" s="118"/>
    </row>
    <row r="81" spans="1:11">
      <c r="A81" s="119">
        <v>4.0999999999999996</v>
      </c>
      <c r="B81" s="136" t="s">
        <v>85</v>
      </c>
      <c r="C81" s="112"/>
      <c r="D81" s="113"/>
      <c r="E81" s="113"/>
      <c r="F81" s="113"/>
      <c r="G81" s="113"/>
      <c r="H81" s="123"/>
      <c r="I81" s="112"/>
      <c r="J81" s="117"/>
      <c r="K81" s="118"/>
    </row>
    <row r="82" spans="1:11">
      <c r="A82" s="119"/>
      <c r="B82" s="123"/>
      <c r="C82" s="112"/>
      <c r="D82" s="113"/>
      <c r="E82" s="113"/>
      <c r="F82" s="113"/>
      <c r="G82" s="113"/>
      <c r="H82" s="123"/>
      <c r="I82" s="112"/>
      <c r="J82" s="117"/>
      <c r="K82" s="118"/>
    </row>
    <row r="83" spans="1:11" ht="38.25">
      <c r="A83" s="119"/>
      <c r="B83" s="123" t="s">
        <v>342</v>
      </c>
      <c r="C83" s="112"/>
      <c r="D83" s="113"/>
      <c r="E83" s="113"/>
      <c r="F83" s="113"/>
      <c r="G83" s="113"/>
      <c r="H83" s="123"/>
      <c r="I83" s="112"/>
      <c r="J83" s="117"/>
      <c r="K83" s="118"/>
    </row>
    <row r="84" spans="1:11">
      <c r="A84" s="119"/>
      <c r="B84" s="123"/>
      <c r="C84" s="112"/>
      <c r="D84" s="113"/>
      <c r="E84" s="113"/>
      <c r="F84" s="113"/>
      <c r="G84" s="113"/>
      <c r="H84" s="123"/>
      <c r="I84" s="112"/>
      <c r="J84" s="117"/>
      <c r="K84" s="118"/>
    </row>
    <row r="85" spans="1:11">
      <c r="A85" s="122">
        <v>4.1100000000000003</v>
      </c>
      <c r="B85" s="123" t="s">
        <v>338</v>
      </c>
      <c r="C85" s="112" t="s">
        <v>3</v>
      </c>
      <c r="D85" s="113">
        <v>8.3000000000000007</v>
      </c>
      <c r="E85" s="113">
        <v>2</v>
      </c>
      <c r="F85" s="113"/>
      <c r="G85" s="146"/>
      <c r="H85" s="123"/>
      <c r="I85" s="112">
        <f>2*(D85+E85)</f>
        <v>20.6</v>
      </c>
      <c r="J85" s="442">
        <v>250</v>
      </c>
      <c r="K85" s="118">
        <f>I85*J85</f>
        <v>5150</v>
      </c>
    </row>
    <row r="86" spans="1:11">
      <c r="A86" s="119"/>
      <c r="B86" s="123"/>
      <c r="C86" s="112"/>
      <c r="D86" s="113"/>
      <c r="E86" s="113"/>
      <c r="F86" s="113"/>
      <c r="G86" s="123"/>
      <c r="H86" s="123"/>
      <c r="I86" s="112"/>
      <c r="J86" s="442"/>
      <c r="K86" s="118"/>
    </row>
    <row r="87" spans="1:11">
      <c r="A87" s="122">
        <v>4.12</v>
      </c>
      <c r="B87" s="123" t="s">
        <v>339</v>
      </c>
      <c r="C87" s="112" t="s">
        <v>3</v>
      </c>
      <c r="D87" s="113">
        <v>1.1000000000000001</v>
      </c>
      <c r="E87" s="113">
        <v>11</v>
      </c>
      <c r="F87" s="113"/>
      <c r="G87" s="123"/>
      <c r="H87" s="123"/>
      <c r="I87" s="112">
        <f>D87*E87*2</f>
        <v>24.200000000000003</v>
      </c>
      <c r="J87" s="442">
        <v>200</v>
      </c>
      <c r="K87" s="118">
        <f>I87*J87</f>
        <v>4840.0000000000009</v>
      </c>
    </row>
    <row r="88" spans="1:11">
      <c r="A88" s="122"/>
      <c r="B88" s="123"/>
      <c r="C88" s="112"/>
      <c r="D88" s="113"/>
      <c r="E88" s="113"/>
      <c r="F88" s="113"/>
      <c r="G88" s="123"/>
      <c r="H88" s="123"/>
      <c r="I88" s="112"/>
      <c r="J88" s="442"/>
      <c r="K88" s="118"/>
    </row>
    <row r="89" spans="1:11">
      <c r="A89" s="122">
        <v>4.13</v>
      </c>
      <c r="B89" s="244" t="s">
        <v>345</v>
      </c>
      <c r="C89" s="112" t="s">
        <v>3</v>
      </c>
      <c r="D89" s="126">
        <v>8.5</v>
      </c>
      <c r="E89" s="126">
        <v>12</v>
      </c>
      <c r="F89" s="126"/>
      <c r="G89" s="123"/>
      <c r="H89" s="123"/>
      <c r="I89" s="124">
        <f>D89*E89*2</f>
        <v>204</v>
      </c>
      <c r="J89" s="442">
        <v>170</v>
      </c>
      <c r="K89" s="118">
        <f>I89*J89</f>
        <v>34680</v>
      </c>
    </row>
    <row r="90" spans="1:11">
      <c r="A90" s="122"/>
      <c r="B90" s="123"/>
      <c r="C90" s="112"/>
      <c r="D90" s="125"/>
      <c r="E90" s="125"/>
      <c r="F90" s="125"/>
      <c r="G90" s="125"/>
      <c r="H90" s="123"/>
      <c r="I90" s="124"/>
      <c r="J90" s="442"/>
      <c r="K90" s="118"/>
    </row>
    <row r="91" spans="1:11">
      <c r="A91" s="122">
        <v>4.1399999999999997</v>
      </c>
      <c r="B91" s="123" t="s">
        <v>344</v>
      </c>
      <c r="C91" s="112" t="s">
        <v>3</v>
      </c>
      <c r="D91" s="126">
        <v>13.5</v>
      </c>
      <c r="E91" s="125">
        <v>1.7</v>
      </c>
      <c r="F91" s="125">
        <v>7</v>
      </c>
      <c r="G91" s="125"/>
      <c r="H91" s="123"/>
      <c r="I91" s="124">
        <f>(D91+E91)*F91*2</f>
        <v>212.79999999999998</v>
      </c>
      <c r="J91" s="442">
        <v>150</v>
      </c>
      <c r="K91" s="118">
        <f>I91*J91</f>
        <v>31919.999999999996</v>
      </c>
    </row>
    <row r="92" spans="1:11">
      <c r="A92" s="122"/>
      <c r="B92" s="123"/>
      <c r="C92" s="112"/>
      <c r="D92" s="126"/>
      <c r="E92" s="125"/>
      <c r="F92" s="125"/>
      <c r="G92" s="125"/>
      <c r="H92" s="123"/>
      <c r="I92" s="124"/>
      <c r="J92" s="442"/>
      <c r="K92" s="118"/>
    </row>
    <row r="93" spans="1:11" ht="41.25" customHeight="1">
      <c r="A93" s="122">
        <v>4.1500000000000004</v>
      </c>
      <c r="B93" s="252" t="s">
        <v>392</v>
      </c>
      <c r="C93" s="112" t="s">
        <v>3</v>
      </c>
      <c r="D93" s="125"/>
      <c r="E93" s="125"/>
      <c r="F93" s="125"/>
      <c r="G93" s="125"/>
      <c r="H93" s="123"/>
      <c r="I93" s="124">
        <f>I89</f>
        <v>204</v>
      </c>
      <c r="J93" s="442">
        <v>50</v>
      </c>
      <c r="K93" s="118">
        <f>I93*J93</f>
        <v>10200</v>
      </c>
    </row>
    <row r="94" spans="1:11">
      <c r="A94" s="122"/>
      <c r="B94" s="252"/>
      <c r="C94" s="112"/>
      <c r="D94" s="125"/>
      <c r="E94" s="125"/>
      <c r="F94" s="125"/>
      <c r="G94" s="125"/>
      <c r="H94" s="123"/>
      <c r="I94" s="124"/>
      <c r="J94" s="442"/>
      <c r="K94" s="118"/>
    </row>
    <row r="95" spans="1:11" ht="46.5" customHeight="1">
      <c r="A95" s="122">
        <v>4.16</v>
      </c>
      <c r="B95" s="252" t="s">
        <v>393</v>
      </c>
      <c r="C95" s="112" t="s">
        <v>3</v>
      </c>
      <c r="D95" s="125"/>
      <c r="E95" s="125"/>
      <c r="F95" s="125"/>
      <c r="G95" s="125"/>
      <c r="H95" s="123"/>
      <c r="I95" s="124">
        <f>I91</f>
        <v>212.79999999999998</v>
      </c>
      <c r="J95" s="442">
        <v>100</v>
      </c>
      <c r="K95" s="118">
        <f>I95*J95</f>
        <v>21280</v>
      </c>
    </row>
    <row r="96" spans="1:11">
      <c r="A96" s="122"/>
      <c r="B96" s="252"/>
      <c r="C96" s="112"/>
      <c r="D96" s="125"/>
      <c r="E96" s="125"/>
      <c r="F96" s="125"/>
      <c r="G96" s="125"/>
      <c r="H96" s="123"/>
      <c r="I96" s="124"/>
      <c r="J96" s="442"/>
      <c r="K96" s="118"/>
    </row>
    <row r="97" spans="1:11" ht="29.25" customHeight="1">
      <c r="A97" s="122">
        <v>4.17</v>
      </c>
      <c r="B97" s="252" t="s">
        <v>347</v>
      </c>
      <c r="C97" s="112" t="s">
        <v>346</v>
      </c>
      <c r="D97" s="126">
        <v>7</v>
      </c>
      <c r="E97" s="125"/>
      <c r="F97" s="125"/>
      <c r="G97" s="125"/>
      <c r="H97" s="123"/>
      <c r="I97" s="124">
        <f>D97*2</f>
        <v>14</v>
      </c>
      <c r="J97" s="442">
        <v>450</v>
      </c>
      <c r="K97" s="118">
        <f>I97*J97</f>
        <v>6300</v>
      </c>
    </row>
    <row r="98" spans="1:11">
      <c r="A98" s="119"/>
      <c r="B98" s="252"/>
      <c r="C98" s="112"/>
      <c r="D98" s="125"/>
      <c r="E98" s="125"/>
      <c r="F98" s="125"/>
      <c r="G98" s="125"/>
      <c r="H98" s="123"/>
      <c r="I98" s="124"/>
      <c r="J98" s="442"/>
      <c r="K98" s="118"/>
    </row>
    <row r="99" spans="1:11">
      <c r="A99" s="119">
        <v>4.2</v>
      </c>
      <c r="B99" s="137" t="s">
        <v>86</v>
      </c>
      <c r="C99" s="112"/>
      <c r="D99" s="113"/>
      <c r="E99" s="113"/>
      <c r="F99" s="113"/>
      <c r="G99" s="113"/>
      <c r="H99" s="123"/>
      <c r="I99" s="112"/>
      <c r="J99" s="442"/>
      <c r="K99" s="118"/>
    </row>
    <row r="100" spans="1:11">
      <c r="A100" s="119"/>
      <c r="B100" s="123"/>
      <c r="C100" s="112"/>
      <c r="D100" s="113"/>
      <c r="E100" s="113"/>
      <c r="F100" s="113"/>
      <c r="G100" s="113"/>
      <c r="H100" s="123"/>
      <c r="I100" s="112"/>
      <c r="J100" s="442"/>
      <c r="K100" s="118"/>
    </row>
    <row r="101" spans="1:11" s="324" customFormat="1">
      <c r="A101" s="358">
        <v>4.2009999999999996</v>
      </c>
      <c r="B101" s="252" t="s">
        <v>364</v>
      </c>
      <c r="C101" s="307" t="s">
        <v>11</v>
      </c>
      <c r="D101" s="252"/>
      <c r="E101" s="252"/>
      <c r="F101" s="252"/>
      <c r="G101" s="252"/>
      <c r="H101" s="252"/>
      <c r="I101" s="254">
        <v>2</v>
      </c>
      <c r="J101" s="442">
        <f>1250+(30%*1250)</f>
        <v>1625</v>
      </c>
      <c r="K101" s="118">
        <f>I101*J101</f>
        <v>3250</v>
      </c>
    </row>
    <row r="102" spans="1:11" s="324" customFormat="1">
      <c r="A102" s="366"/>
      <c r="B102" s="252"/>
      <c r="C102" s="307"/>
      <c r="D102" s="252"/>
      <c r="E102" s="252"/>
      <c r="F102" s="252"/>
      <c r="G102" s="252"/>
      <c r="H102" s="252"/>
      <c r="I102" s="254"/>
      <c r="J102" s="442"/>
      <c r="K102" s="308"/>
    </row>
    <row r="103" spans="1:11" s="324" customFormat="1">
      <c r="A103" s="358">
        <v>4.202</v>
      </c>
      <c r="B103" s="252" t="s">
        <v>366</v>
      </c>
      <c r="C103" s="307" t="s">
        <v>11</v>
      </c>
      <c r="D103" s="252"/>
      <c r="E103" s="252"/>
      <c r="F103" s="252"/>
      <c r="G103" s="252"/>
      <c r="H103" s="252"/>
      <c r="I103" s="254">
        <v>4</v>
      </c>
      <c r="J103" s="442">
        <v>200</v>
      </c>
      <c r="K103" s="308">
        <f>I103*J103</f>
        <v>800</v>
      </c>
    </row>
    <row r="104" spans="1:11" s="324" customFormat="1">
      <c r="A104" s="358"/>
      <c r="B104" s="252"/>
      <c r="C104" s="307"/>
      <c r="D104" s="252"/>
      <c r="E104" s="252"/>
      <c r="F104" s="252"/>
      <c r="G104" s="252"/>
      <c r="H104" s="252"/>
      <c r="I104" s="254"/>
      <c r="J104" s="442"/>
      <c r="K104" s="308"/>
    </row>
    <row r="105" spans="1:11" s="344" customFormat="1">
      <c r="A105" s="358">
        <v>4.2030000000000003</v>
      </c>
      <c r="B105" s="244" t="s">
        <v>365</v>
      </c>
      <c r="C105" s="248" t="s">
        <v>11</v>
      </c>
      <c r="D105" s="244"/>
      <c r="E105" s="244"/>
      <c r="F105" s="244"/>
      <c r="G105" s="244"/>
      <c r="H105" s="244"/>
      <c r="I105" s="251">
        <v>2</v>
      </c>
      <c r="J105" s="442">
        <f>3950+(3950*0.3)</f>
        <v>5135</v>
      </c>
      <c r="K105" s="365">
        <f>I105*J105</f>
        <v>10270</v>
      </c>
    </row>
    <row r="106" spans="1:11" s="324" customFormat="1">
      <c r="A106" s="358"/>
      <c r="B106" s="252"/>
      <c r="C106" s="307"/>
      <c r="D106" s="252"/>
      <c r="E106" s="252"/>
      <c r="F106" s="252"/>
      <c r="G106" s="252"/>
      <c r="H106" s="252"/>
      <c r="I106" s="254"/>
      <c r="J106" s="442"/>
      <c r="K106" s="308"/>
    </row>
    <row r="107" spans="1:11" s="324" customFormat="1">
      <c r="A107" s="358">
        <v>4.2039999999999997</v>
      </c>
      <c r="B107" s="252" t="s">
        <v>367</v>
      </c>
      <c r="C107" s="307" t="s">
        <v>11</v>
      </c>
      <c r="D107" s="252"/>
      <c r="E107" s="252"/>
      <c r="F107" s="252"/>
      <c r="G107" s="252"/>
      <c r="H107" s="252"/>
      <c r="I107" s="254">
        <v>2</v>
      </c>
      <c r="J107" s="442">
        <v>200</v>
      </c>
      <c r="K107" s="118">
        <f>I107*J107</f>
        <v>400</v>
      </c>
    </row>
    <row r="108" spans="1:11" s="324" customFormat="1">
      <c r="A108" s="358"/>
      <c r="B108" s="252"/>
      <c r="C108" s="307"/>
      <c r="D108" s="252"/>
      <c r="E108" s="252"/>
      <c r="F108" s="252"/>
      <c r="G108" s="252"/>
      <c r="H108" s="252"/>
      <c r="I108" s="254"/>
      <c r="J108" s="442"/>
      <c r="K108" s="308"/>
    </row>
    <row r="109" spans="1:11" s="324" customFormat="1" ht="38.25">
      <c r="A109" s="358">
        <v>4.2050000000000001</v>
      </c>
      <c r="B109" s="252" t="s">
        <v>428</v>
      </c>
      <c r="C109" s="307" t="s">
        <v>11</v>
      </c>
      <c r="D109" s="252"/>
      <c r="E109" s="252"/>
      <c r="F109" s="252"/>
      <c r="G109" s="252"/>
      <c r="H109" s="252"/>
      <c r="I109" s="254">
        <v>1</v>
      </c>
      <c r="J109" s="442">
        <v>300</v>
      </c>
      <c r="K109" s="118">
        <f>I109*J109</f>
        <v>300</v>
      </c>
    </row>
    <row r="110" spans="1:11" s="324" customFormat="1">
      <c r="A110" s="358"/>
      <c r="B110" s="252"/>
      <c r="C110" s="307"/>
      <c r="D110" s="252"/>
      <c r="E110" s="252"/>
      <c r="F110" s="252"/>
      <c r="G110" s="252"/>
      <c r="H110" s="252"/>
      <c r="I110" s="254"/>
      <c r="J110" s="442"/>
      <c r="K110" s="118"/>
    </row>
    <row r="111" spans="1:11" s="324" customFormat="1">
      <c r="A111" s="358">
        <v>4.2060000000000004</v>
      </c>
      <c r="B111" s="252" t="s">
        <v>368</v>
      </c>
      <c r="C111" s="307" t="s">
        <v>11</v>
      </c>
      <c r="D111" s="252"/>
      <c r="E111" s="252"/>
      <c r="F111" s="252"/>
      <c r="G111" s="252"/>
      <c r="H111" s="252"/>
      <c r="I111" s="254">
        <v>2</v>
      </c>
      <c r="J111" s="442">
        <v>350</v>
      </c>
      <c r="K111" s="118">
        <f t="shared" ref="K111:K123" si="0">I111*J111</f>
        <v>700</v>
      </c>
    </row>
    <row r="112" spans="1:11" s="324" customFormat="1">
      <c r="A112" s="358"/>
      <c r="B112" s="252"/>
      <c r="C112" s="307"/>
      <c r="D112" s="252"/>
      <c r="E112" s="252"/>
      <c r="F112" s="252"/>
      <c r="G112" s="252"/>
      <c r="H112" s="252"/>
      <c r="I112" s="254"/>
      <c r="J112" s="442"/>
      <c r="K112" s="118"/>
    </row>
    <row r="113" spans="1:11" s="324" customFormat="1">
      <c r="A113" s="358">
        <v>4.2069999999999999</v>
      </c>
      <c r="B113" s="252" t="s">
        <v>369</v>
      </c>
      <c r="C113" s="307" t="s">
        <v>11</v>
      </c>
      <c r="D113" s="252"/>
      <c r="E113" s="252"/>
      <c r="F113" s="252"/>
      <c r="G113" s="252"/>
      <c r="H113" s="252"/>
      <c r="I113" s="254">
        <v>2</v>
      </c>
      <c r="J113" s="442">
        <v>650</v>
      </c>
      <c r="K113" s="118">
        <f t="shared" si="0"/>
        <v>1300</v>
      </c>
    </row>
    <row r="114" spans="1:11" s="324" customFormat="1">
      <c r="A114" s="358"/>
      <c r="B114" s="252"/>
      <c r="C114" s="307"/>
      <c r="D114" s="252"/>
      <c r="E114" s="252"/>
      <c r="F114" s="252"/>
      <c r="G114" s="252"/>
      <c r="H114" s="252"/>
      <c r="I114" s="254"/>
      <c r="J114" s="442"/>
      <c r="K114" s="118"/>
    </row>
    <row r="115" spans="1:11" s="324" customFormat="1">
      <c r="A115" s="358">
        <v>4.2080000000000002</v>
      </c>
      <c r="B115" s="252" t="s">
        <v>374</v>
      </c>
      <c r="C115" s="307" t="s">
        <v>11</v>
      </c>
      <c r="D115" s="252"/>
      <c r="E115" s="252"/>
      <c r="F115" s="252"/>
      <c r="G115" s="252"/>
      <c r="H115" s="252"/>
      <c r="I115" s="254">
        <v>4</v>
      </c>
      <c r="J115" s="442">
        <v>200</v>
      </c>
      <c r="K115" s="118">
        <f t="shared" si="0"/>
        <v>800</v>
      </c>
    </row>
    <row r="116" spans="1:11" s="324" customFormat="1">
      <c r="A116" s="358"/>
      <c r="B116" s="252"/>
      <c r="C116" s="307"/>
      <c r="D116" s="252"/>
      <c r="E116" s="252"/>
      <c r="F116" s="252"/>
      <c r="G116" s="252"/>
      <c r="H116" s="252"/>
      <c r="I116" s="254"/>
      <c r="J116" s="442"/>
      <c r="K116" s="118"/>
    </row>
    <row r="117" spans="1:11" s="324" customFormat="1">
      <c r="A117" s="358">
        <v>4.2089999999999996</v>
      </c>
      <c r="B117" s="252" t="s">
        <v>370</v>
      </c>
      <c r="C117" s="307" t="s">
        <v>11</v>
      </c>
      <c r="D117" s="252"/>
      <c r="E117" s="252"/>
      <c r="F117" s="252"/>
      <c r="G117" s="252"/>
      <c r="H117" s="252"/>
      <c r="I117" s="254">
        <v>4</v>
      </c>
      <c r="J117" s="442">
        <v>480</v>
      </c>
      <c r="K117" s="118">
        <f t="shared" si="0"/>
        <v>1920</v>
      </c>
    </row>
    <row r="118" spans="1:11" s="324" customFormat="1">
      <c r="A118" s="358"/>
      <c r="B118" s="252"/>
      <c r="C118" s="307"/>
      <c r="D118" s="252"/>
      <c r="E118" s="252"/>
      <c r="F118" s="252"/>
      <c r="G118" s="252"/>
      <c r="H118" s="252"/>
      <c r="I118" s="254"/>
      <c r="J118" s="442"/>
      <c r="K118" s="118"/>
    </row>
    <row r="119" spans="1:11" s="324" customFormat="1">
      <c r="A119" s="358">
        <v>4.21</v>
      </c>
      <c r="B119" s="252" t="s">
        <v>371</v>
      </c>
      <c r="C119" s="307" t="s">
        <v>11</v>
      </c>
      <c r="D119" s="252"/>
      <c r="E119" s="252"/>
      <c r="F119" s="252"/>
      <c r="G119" s="252"/>
      <c r="H119" s="252"/>
      <c r="I119" s="254">
        <v>20</v>
      </c>
      <c r="J119" s="442">
        <v>380</v>
      </c>
      <c r="K119" s="118">
        <f t="shared" si="0"/>
        <v>7600</v>
      </c>
    </row>
    <row r="120" spans="1:11" s="324" customFormat="1">
      <c r="A120" s="358"/>
      <c r="B120" s="252"/>
      <c r="C120" s="307"/>
      <c r="D120" s="252"/>
      <c r="E120" s="252"/>
      <c r="F120" s="252"/>
      <c r="G120" s="252"/>
      <c r="H120" s="252"/>
      <c r="I120" s="254"/>
      <c r="J120" s="442"/>
      <c r="K120" s="118"/>
    </row>
    <row r="121" spans="1:11" s="324" customFormat="1">
      <c r="A121" s="358">
        <v>4.2110000000000003</v>
      </c>
      <c r="B121" s="252" t="s">
        <v>373</v>
      </c>
      <c r="C121" s="307" t="s">
        <v>11</v>
      </c>
      <c r="D121" s="252"/>
      <c r="E121" s="252"/>
      <c r="F121" s="252"/>
      <c r="G121" s="252"/>
      <c r="H121" s="252"/>
      <c r="I121" s="254">
        <v>4</v>
      </c>
      <c r="J121" s="442">
        <v>240</v>
      </c>
      <c r="K121" s="118">
        <f t="shared" si="0"/>
        <v>960</v>
      </c>
    </row>
    <row r="122" spans="1:11" s="324" customFormat="1">
      <c r="A122" s="358"/>
      <c r="B122" s="252"/>
      <c r="C122" s="307"/>
      <c r="D122" s="252"/>
      <c r="E122" s="252"/>
      <c r="F122" s="252"/>
      <c r="G122" s="252"/>
      <c r="H122" s="252"/>
      <c r="I122" s="254"/>
      <c r="J122" s="442"/>
      <c r="K122" s="118"/>
    </row>
    <row r="123" spans="1:11" s="324" customFormat="1">
      <c r="A123" s="358">
        <v>4.2119999999999997</v>
      </c>
      <c r="B123" s="252" t="s">
        <v>372</v>
      </c>
      <c r="C123" s="307" t="s">
        <v>11</v>
      </c>
      <c r="D123" s="252"/>
      <c r="E123" s="252"/>
      <c r="F123" s="252"/>
      <c r="G123" s="252"/>
      <c r="H123" s="252"/>
      <c r="I123" s="254">
        <v>24</v>
      </c>
      <c r="J123" s="442">
        <v>170</v>
      </c>
      <c r="K123" s="118">
        <f t="shared" si="0"/>
        <v>4080</v>
      </c>
    </row>
    <row r="124" spans="1:11" s="324" customFormat="1">
      <c r="A124" s="122"/>
      <c r="B124" s="252"/>
      <c r="C124" s="307"/>
      <c r="D124" s="252"/>
      <c r="E124" s="252"/>
      <c r="F124" s="252"/>
      <c r="G124" s="252"/>
      <c r="H124" s="252"/>
      <c r="I124" s="254"/>
      <c r="J124" s="442"/>
      <c r="K124" s="118"/>
    </row>
    <row r="125" spans="1:11">
      <c r="A125" s="119">
        <v>4.3</v>
      </c>
      <c r="B125" s="136" t="s">
        <v>87</v>
      </c>
      <c r="C125" s="112"/>
      <c r="D125" s="125"/>
      <c r="E125" s="125"/>
      <c r="F125" s="125"/>
      <c r="G125" s="125"/>
      <c r="H125" s="123"/>
      <c r="I125" s="124"/>
      <c r="J125" s="442"/>
      <c r="K125" s="118"/>
    </row>
    <row r="126" spans="1:11">
      <c r="A126" s="122"/>
      <c r="B126" s="165"/>
      <c r="C126" s="112"/>
      <c r="D126" s="125"/>
      <c r="E126" s="125"/>
      <c r="F126" s="125"/>
      <c r="G126" s="125"/>
      <c r="H126" s="123"/>
      <c r="I126" s="124"/>
      <c r="J126" s="442"/>
      <c r="K126" s="118"/>
    </row>
    <row r="127" spans="1:11" ht="63.75">
      <c r="A127" s="122"/>
      <c r="B127" s="123" t="s">
        <v>211</v>
      </c>
      <c r="C127" s="112"/>
      <c r="D127" s="125"/>
      <c r="E127" s="125"/>
      <c r="F127" s="125"/>
      <c r="G127" s="125"/>
      <c r="H127" s="123"/>
      <c r="I127" s="124"/>
      <c r="J127" s="442"/>
      <c r="K127" s="118"/>
    </row>
    <row r="128" spans="1:11">
      <c r="A128" s="122"/>
      <c r="B128" s="123"/>
      <c r="C128" s="112"/>
      <c r="D128" s="125"/>
      <c r="E128" s="125"/>
      <c r="F128" s="125"/>
      <c r="G128" s="125"/>
      <c r="H128" s="123"/>
      <c r="I128" s="124"/>
      <c r="J128" s="442"/>
      <c r="K128" s="118"/>
    </row>
    <row r="129" spans="1:11">
      <c r="A129" s="122"/>
      <c r="B129" s="123" t="s">
        <v>152</v>
      </c>
      <c r="C129" s="112"/>
      <c r="D129" s="125"/>
      <c r="E129" s="125"/>
      <c r="F129" s="125"/>
      <c r="G129" s="125"/>
      <c r="H129" s="123"/>
      <c r="I129" s="124"/>
      <c r="J129" s="442"/>
      <c r="K129" s="118"/>
    </row>
    <row r="130" spans="1:11">
      <c r="A130" s="122"/>
      <c r="B130" s="123"/>
      <c r="C130" s="112"/>
      <c r="D130" s="125"/>
      <c r="E130" s="125"/>
      <c r="F130" s="125"/>
      <c r="G130" s="125"/>
      <c r="H130" s="123"/>
      <c r="I130" s="124"/>
      <c r="J130" s="442"/>
      <c r="K130" s="118"/>
    </row>
    <row r="131" spans="1:11" ht="25.5">
      <c r="A131" s="399">
        <v>4.3099999999999996</v>
      </c>
      <c r="B131" s="400" t="s">
        <v>348</v>
      </c>
      <c r="C131" s="410" t="s">
        <v>3</v>
      </c>
      <c r="D131" s="414"/>
      <c r="E131" s="414"/>
      <c r="F131" s="414"/>
      <c r="G131" s="414"/>
      <c r="H131" s="400"/>
      <c r="I131" s="401">
        <v>10</v>
      </c>
      <c r="J131" s="443">
        <v>500</v>
      </c>
      <c r="K131" s="404">
        <f>I131*J131</f>
        <v>5000</v>
      </c>
    </row>
    <row r="132" spans="1:11">
      <c r="A132" s="122"/>
      <c r="B132" s="123"/>
      <c r="C132" s="112"/>
      <c r="D132" s="125"/>
      <c r="E132" s="125"/>
      <c r="F132" s="125"/>
      <c r="G132" s="125"/>
      <c r="H132" s="123"/>
      <c r="I132" s="251"/>
      <c r="J132" s="117"/>
      <c r="K132" s="118"/>
    </row>
    <row r="133" spans="1:11" s="154" customFormat="1" ht="15">
      <c r="A133" s="487" t="s">
        <v>104</v>
      </c>
      <c r="B133" s="488"/>
      <c r="C133" s="488"/>
      <c r="D133" s="488"/>
      <c r="E133" s="488"/>
      <c r="F133" s="488"/>
      <c r="G133" s="488"/>
      <c r="H133" s="488"/>
      <c r="I133" s="488"/>
      <c r="J133" s="489"/>
      <c r="K133" s="322">
        <f>SUM(K78:K132)</f>
        <v>151750</v>
      </c>
    </row>
    <row r="134" spans="1:11">
      <c r="A134" s="119"/>
      <c r="B134" s="120"/>
      <c r="C134" s="112"/>
      <c r="D134" s="113"/>
      <c r="E134" s="113"/>
      <c r="F134" s="113"/>
      <c r="G134" s="113"/>
      <c r="H134" s="113"/>
      <c r="I134" s="112"/>
      <c r="J134" s="117"/>
      <c r="K134" s="118"/>
    </row>
    <row r="135" spans="1:11">
      <c r="A135" s="119">
        <v>5</v>
      </c>
      <c r="B135" s="136" t="s">
        <v>181</v>
      </c>
      <c r="C135" s="112"/>
      <c r="D135" s="113"/>
      <c r="E135" s="113"/>
      <c r="F135" s="113"/>
      <c r="G135" s="113"/>
      <c r="H135" s="123"/>
      <c r="I135" s="112"/>
      <c r="J135" s="117"/>
      <c r="K135" s="118"/>
    </row>
    <row r="136" spans="1:11">
      <c r="A136" s="119"/>
      <c r="B136" s="123"/>
      <c r="C136" s="112"/>
      <c r="D136" s="113"/>
      <c r="E136" s="113"/>
      <c r="F136" s="113"/>
      <c r="G136" s="113"/>
      <c r="H136" s="123"/>
      <c r="I136" s="112"/>
      <c r="J136" s="117"/>
      <c r="K136" s="118"/>
    </row>
    <row r="137" spans="1:11">
      <c r="A137" s="119">
        <v>5.0999999999999996</v>
      </c>
      <c r="B137" s="136" t="s">
        <v>182</v>
      </c>
      <c r="C137" s="112"/>
      <c r="D137" s="113"/>
      <c r="E137" s="113"/>
      <c r="F137" s="113"/>
      <c r="G137" s="113"/>
      <c r="H137" s="123"/>
      <c r="I137" s="112"/>
      <c r="J137" s="117"/>
      <c r="K137" s="118"/>
    </row>
    <row r="138" spans="1:11">
      <c r="A138" s="119"/>
      <c r="B138" s="123"/>
      <c r="C138" s="112"/>
      <c r="D138" s="113"/>
      <c r="E138" s="113"/>
      <c r="F138" s="113"/>
      <c r="G138" s="113"/>
      <c r="H138" s="123"/>
      <c r="I138" s="112"/>
      <c r="J138" s="117"/>
      <c r="K138" s="118"/>
    </row>
    <row r="139" spans="1:11" ht="38.25">
      <c r="A139" s="122">
        <v>5.1100000000000003</v>
      </c>
      <c r="B139" s="123" t="s">
        <v>426</v>
      </c>
      <c r="C139" s="112" t="s">
        <v>37</v>
      </c>
      <c r="D139" s="113">
        <v>10.8</v>
      </c>
      <c r="E139" s="113">
        <v>15</v>
      </c>
      <c r="F139" s="113"/>
      <c r="G139" s="113"/>
      <c r="H139" s="244"/>
      <c r="I139" s="423">
        <f>2*(D139*E139)</f>
        <v>324</v>
      </c>
      <c r="J139" s="442">
        <v>550</v>
      </c>
      <c r="K139" s="118">
        <f>I139*J139</f>
        <v>178200</v>
      </c>
    </row>
    <row r="140" spans="1:11">
      <c r="A140" s="122"/>
      <c r="B140" s="123"/>
      <c r="C140" s="112"/>
      <c r="D140" s="113"/>
      <c r="E140" s="113"/>
      <c r="F140" s="113"/>
      <c r="G140" s="113"/>
      <c r="H140" s="123"/>
      <c r="I140" s="112"/>
      <c r="J140" s="442"/>
      <c r="K140" s="118"/>
    </row>
    <row r="141" spans="1:11">
      <c r="A141" s="119">
        <v>5.2</v>
      </c>
      <c r="B141" s="136" t="s">
        <v>184</v>
      </c>
      <c r="C141" s="112"/>
      <c r="D141" s="113"/>
      <c r="E141" s="113"/>
      <c r="F141" s="113"/>
      <c r="G141" s="113"/>
      <c r="H141" s="166"/>
      <c r="I141" s="112"/>
      <c r="J141" s="442"/>
      <c r="K141" s="118"/>
    </row>
    <row r="142" spans="1:11">
      <c r="A142" s="122"/>
      <c r="B142" s="244"/>
      <c r="C142" s="112"/>
      <c r="D142" s="113"/>
      <c r="E142" s="113"/>
      <c r="F142" s="113"/>
      <c r="G142" s="113"/>
      <c r="H142" s="166"/>
      <c r="I142" s="112"/>
      <c r="J142" s="442"/>
      <c r="K142" s="118"/>
    </row>
    <row r="143" spans="1:11" ht="25.5">
      <c r="A143" s="122">
        <v>5.21</v>
      </c>
      <c r="B143" s="123" t="s">
        <v>375</v>
      </c>
      <c r="C143" s="112" t="s">
        <v>34</v>
      </c>
      <c r="D143" s="113">
        <v>12.1</v>
      </c>
      <c r="E143" s="113">
        <v>7.9</v>
      </c>
      <c r="F143" s="113">
        <v>0.1</v>
      </c>
      <c r="G143" s="113"/>
      <c r="H143" s="244"/>
      <c r="I143" s="422">
        <f>D143*E143*F143*2</f>
        <v>19.118000000000002</v>
      </c>
      <c r="J143" s="442">
        <v>2400</v>
      </c>
      <c r="K143" s="118">
        <f>I143*J143</f>
        <v>45883.200000000004</v>
      </c>
    </row>
    <row r="144" spans="1:11" ht="16.5" customHeight="1">
      <c r="A144" s="122"/>
      <c r="B144" s="123"/>
      <c r="C144" s="112"/>
      <c r="D144" s="113"/>
      <c r="E144" s="113"/>
      <c r="F144" s="113"/>
      <c r="G144" s="113"/>
      <c r="H144" s="244"/>
      <c r="I144" s="112"/>
      <c r="J144" s="442"/>
      <c r="K144" s="118"/>
    </row>
    <row r="145" spans="1:11" ht="38.25">
      <c r="A145" s="122">
        <v>5.22</v>
      </c>
      <c r="B145" s="123" t="s">
        <v>376</v>
      </c>
      <c r="C145" s="112" t="s">
        <v>34</v>
      </c>
      <c r="D145" s="113">
        <v>13</v>
      </c>
      <c r="E145" s="113">
        <v>8.8000000000000007</v>
      </c>
      <c r="F145" s="113">
        <v>0.2</v>
      </c>
      <c r="G145" s="113"/>
      <c r="H145" s="244"/>
      <c r="I145" s="422">
        <f>D145*E145*F145*2</f>
        <v>45.760000000000005</v>
      </c>
      <c r="J145" s="442">
        <v>2400</v>
      </c>
      <c r="K145" s="118">
        <f>I145*J145</f>
        <v>109824.00000000001</v>
      </c>
    </row>
    <row r="146" spans="1:11">
      <c r="A146" s="122"/>
      <c r="B146" s="123"/>
      <c r="C146" s="112"/>
      <c r="D146" s="113"/>
      <c r="E146" s="113"/>
      <c r="F146" s="113"/>
      <c r="G146" s="113"/>
      <c r="H146" s="123"/>
      <c r="I146" s="112"/>
      <c r="J146" s="117"/>
      <c r="K146" s="118"/>
    </row>
    <row r="147" spans="1:11" ht="68.25" customHeight="1">
      <c r="A147" s="122">
        <v>5.23</v>
      </c>
      <c r="B147" s="123" t="s">
        <v>400</v>
      </c>
      <c r="C147" s="112" t="s">
        <v>34</v>
      </c>
      <c r="D147" s="113">
        <v>13</v>
      </c>
      <c r="E147" s="113">
        <v>8.8000000000000007</v>
      </c>
      <c r="F147" s="113">
        <v>0.45</v>
      </c>
      <c r="G147" s="113"/>
      <c r="H147" s="244"/>
      <c r="I147" s="122">
        <f>D147*E147*F147*2</f>
        <v>102.96000000000001</v>
      </c>
      <c r="J147" s="442">
        <v>3500</v>
      </c>
      <c r="K147" s="118">
        <f>I147*J147</f>
        <v>360360</v>
      </c>
    </row>
    <row r="148" spans="1:11">
      <c r="A148" s="119"/>
      <c r="B148" s="123"/>
      <c r="C148" s="112"/>
      <c r="D148" s="113"/>
      <c r="E148" s="113"/>
      <c r="F148" s="113"/>
      <c r="G148" s="113"/>
      <c r="H148" s="113"/>
      <c r="I148" s="113"/>
      <c r="J148" s="117"/>
      <c r="K148" s="118"/>
    </row>
    <row r="149" spans="1:11">
      <c r="A149" s="119">
        <v>5.3</v>
      </c>
      <c r="B149" s="136" t="s">
        <v>183</v>
      </c>
      <c r="C149" s="112"/>
      <c r="D149" s="113"/>
      <c r="E149" s="113"/>
      <c r="F149" s="113"/>
      <c r="G149" s="113"/>
      <c r="H149" s="244"/>
      <c r="I149" s="112"/>
      <c r="J149" s="117"/>
      <c r="K149" s="118"/>
    </row>
    <row r="150" spans="1:11">
      <c r="A150" s="122"/>
      <c r="B150" s="123"/>
      <c r="C150" s="112"/>
      <c r="D150" s="113"/>
      <c r="E150" s="113"/>
      <c r="F150" s="113"/>
      <c r="G150" s="113"/>
      <c r="H150" s="123"/>
      <c r="I150" s="112"/>
      <c r="J150" s="117"/>
      <c r="K150" s="118"/>
    </row>
    <row r="151" spans="1:11" ht="39" customHeight="1">
      <c r="A151" s="359">
        <v>5.31</v>
      </c>
      <c r="B151" s="129" t="s">
        <v>395</v>
      </c>
      <c r="C151" s="112" t="s">
        <v>279</v>
      </c>
      <c r="D151" s="113"/>
      <c r="E151" s="113"/>
      <c r="F151" s="113"/>
      <c r="G151" s="113"/>
      <c r="H151" s="123"/>
      <c r="I151" s="112" t="s">
        <v>124</v>
      </c>
      <c r="J151" s="442">
        <v>5000</v>
      </c>
      <c r="K151" s="118">
        <v>6000</v>
      </c>
    </row>
    <row r="152" spans="1:11">
      <c r="A152" s="359"/>
      <c r="B152" s="129"/>
      <c r="C152" s="112"/>
      <c r="D152" s="113"/>
      <c r="E152" s="113"/>
      <c r="F152" s="113"/>
      <c r="G152" s="113"/>
      <c r="H152" s="123"/>
      <c r="I152" s="112"/>
      <c r="J152" s="117"/>
      <c r="K152" s="118"/>
    </row>
    <row r="153" spans="1:11" s="154" customFormat="1" ht="15">
      <c r="A153" s="487" t="s">
        <v>105</v>
      </c>
      <c r="B153" s="488"/>
      <c r="C153" s="488"/>
      <c r="D153" s="488"/>
      <c r="E153" s="488"/>
      <c r="F153" s="488"/>
      <c r="G153" s="488"/>
      <c r="H153" s="488"/>
      <c r="I153" s="488"/>
      <c r="J153" s="489"/>
      <c r="K153" s="240">
        <f>SUM(K135:K151)</f>
        <v>700267.2</v>
      </c>
    </row>
    <row r="154" spans="1:11" ht="15" customHeight="1">
      <c r="A154" s="498"/>
      <c r="B154" s="499"/>
      <c r="C154" s="499"/>
      <c r="D154" s="499"/>
      <c r="E154" s="499"/>
      <c r="F154" s="499"/>
      <c r="G154" s="499"/>
      <c r="H154" s="499"/>
      <c r="I154" s="499"/>
      <c r="J154" s="499"/>
      <c r="K154" s="500"/>
    </row>
    <row r="155" spans="1:11" ht="14.25" customHeight="1">
      <c r="A155" s="497" t="s">
        <v>108</v>
      </c>
      <c r="B155" s="497"/>
      <c r="C155" s="497"/>
      <c r="D155" s="497"/>
      <c r="E155" s="497"/>
      <c r="F155" s="497"/>
      <c r="G155" s="497"/>
      <c r="H155" s="497"/>
      <c r="I155" s="497"/>
      <c r="J155" s="497"/>
      <c r="K155" s="106">
        <f>K133+K37+K77+K63+K153</f>
        <v>1397613.72</v>
      </c>
    </row>
    <row r="156" spans="1:11" ht="15" customHeight="1">
      <c r="A156" s="497" t="s">
        <v>107</v>
      </c>
      <c r="B156" s="497" t="s">
        <v>7</v>
      </c>
      <c r="C156" s="497"/>
      <c r="D156" s="497"/>
      <c r="E156" s="497"/>
      <c r="F156" s="497"/>
      <c r="G156" s="497"/>
      <c r="H156" s="497"/>
      <c r="I156" s="497"/>
      <c r="J156" s="497"/>
      <c r="K156" s="106">
        <f>0.05*K155</f>
        <v>69880.686000000002</v>
      </c>
    </row>
    <row r="157" spans="1:11">
      <c r="A157" s="497" t="s">
        <v>108</v>
      </c>
      <c r="B157" s="497"/>
      <c r="C157" s="497"/>
      <c r="D157" s="497"/>
      <c r="E157" s="497"/>
      <c r="F157" s="497"/>
      <c r="G157" s="497"/>
      <c r="H157" s="497"/>
      <c r="I157" s="497"/>
      <c r="J157" s="497"/>
      <c r="K157" s="106">
        <f>SUM(K155:K156)</f>
        <v>1467494.406</v>
      </c>
    </row>
    <row r="158" spans="1:11" ht="45" customHeight="1">
      <c r="A158" s="496" t="s">
        <v>222</v>
      </c>
      <c r="B158" s="496"/>
      <c r="C158" s="496"/>
      <c r="D158" s="496"/>
      <c r="E158" s="496"/>
      <c r="F158" s="496"/>
      <c r="G158" s="496"/>
      <c r="H158" s="496"/>
      <c r="I158" s="496"/>
      <c r="J158" s="496"/>
      <c r="K158" s="496"/>
    </row>
    <row r="159" spans="1:11">
      <c r="B159" s="80"/>
    </row>
  </sheetData>
  <mergeCells count="13">
    <mergeCell ref="A1:I1"/>
    <mergeCell ref="A2:K2"/>
    <mergeCell ref="D3:H3"/>
    <mergeCell ref="A158:K158"/>
    <mergeCell ref="A155:J155"/>
    <mergeCell ref="A156:J156"/>
    <mergeCell ref="A157:J157"/>
    <mergeCell ref="A37:J37"/>
    <mergeCell ref="A153:J153"/>
    <mergeCell ref="A133:J133"/>
    <mergeCell ref="A63:J63"/>
    <mergeCell ref="A154:K154"/>
    <mergeCell ref="A77:J77"/>
  </mergeCells>
  <pageMargins left="0.7" right="0.7" top="0.75" bottom="0.75" header="0.3" footer="0.3"/>
  <pageSetup scale="7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topLeftCell="A4" zoomScale="80" zoomScaleNormal="80" zoomScaleSheetLayoutView="100" workbookViewId="0">
      <selection activeCell="J118" sqref="J118"/>
    </sheetView>
  </sheetViews>
  <sheetFormatPr defaultColWidth="9.140625" defaultRowHeight="14.25"/>
  <cols>
    <col min="1" max="1" width="9.28515625" style="24" customWidth="1"/>
    <col min="2" max="2" width="60.7109375" style="8" customWidth="1"/>
    <col min="3" max="3" width="9.7109375" style="68" customWidth="1"/>
    <col min="4" max="5" width="10.7109375" style="11" customWidth="1"/>
    <col min="6" max="6" width="7.85546875" style="11" customWidth="1"/>
    <col min="7" max="7" width="5.85546875" style="11" customWidth="1"/>
    <col min="8" max="8" width="28.85546875" style="11" customWidth="1"/>
    <col min="9" max="9" width="10.7109375" style="68" customWidth="1"/>
    <col min="10" max="10" width="18" style="68" customWidth="1"/>
    <col min="11" max="11" width="15.5703125" style="11" bestFit="1" customWidth="1"/>
    <col min="12" max="16384" width="9.140625" style="8"/>
  </cols>
  <sheetData>
    <row r="1" spans="1:11" ht="48.75" customHeight="1">
      <c r="A1" s="485" t="s">
        <v>99</v>
      </c>
      <c r="B1" s="486"/>
      <c r="C1" s="486"/>
      <c r="D1" s="486"/>
      <c r="E1" s="486"/>
      <c r="F1" s="486"/>
      <c r="G1" s="486"/>
      <c r="H1" s="486"/>
      <c r="I1" s="486"/>
      <c r="J1" s="152"/>
      <c r="K1" s="151"/>
    </row>
    <row r="2" spans="1:11" ht="14.25" customHeight="1">
      <c r="A2" s="505" t="s">
        <v>248</v>
      </c>
      <c r="B2" s="505"/>
      <c r="C2" s="505"/>
      <c r="D2" s="505"/>
      <c r="E2" s="505"/>
      <c r="F2" s="505"/>
      <c r="G2" s="505"/>
      <c r="H2" s="505"/>
      <c r="I2" s="505"/>
      <c r="J2" s="505"/>
      <c r="K2" s="505"/>
    </row>
    <row r="3" spans="1:11">
      <c r="A3" s="160" t="s">
        <v>0</v>
      </c>
      <c r="B3" s="161" t="s">
        <v>1</v>
      </c>
      <c r="C3" s="162" t="s">
        <v>2</v>
      </c>
      <c r="D3" s="501" t="s">
        <v>32</v>
      </c>
      <c r="E3" s="501"/>
      <c r="F3" s="501"/>
      <c r="G3" s="501"/>
      <c r="H3" s="501"/>
      <c r="I3" s="162" t="s">
        <v>98</v>
      </c>
      <c r="J3" s="162" t="s">
        <v>4</v>
      </c>
      <c r="K3" s="162" t="s">
        <v>5</v>
      </c>
    </row>
    <row r="4" spans="1:11">
      <c r="A4" s="107"/>
      <c r="B4" s="163"/>
      <c r="C4" s="109"/>
      <c r="D4" s="320">
        <v>9.6</v>
      </c>
      <c r="E4" s="320">
        <v>10.4</v>
      </c>
      <c r="F4" s="320">
        <v>4.5</v>
      </c>
      <c r="G4" s="113"/>
      <c r="H4" s="113" t="s">
        <v>245</v>
      </c>
      <c r="I4" s="109"/>
      <c r="J4" s="109"/>
      <c r="K4" s="109"/>
    </row>
    <row r="5" spans="1:11">
      <c r="A5" s="110">
        <v>1</v>
      </c>
      <c r="B5" s="111" t="s">
        <v>8</v>
      </c>
      <c r="C5" s="112"/>
      <c r="D5" s="113"/>
      <c r="E5" s="113"/>
      <c r="F5" s="113"/>
      <c r="G5" s="113"/>
      <c r="H5" s="113"/>
      <c r="I5" s="112"/>
      <c r="J5" s="117"/>
      <c r="K5" s="118"/>
    </row>
    <row r="6" spans="1:11" ht="15">
      <c r="A6" s="121"/>
      <c r="B6" s="111"/>
      <c r="C6" s="112"/>
      <c r="D6" s="113"/>
      <c r="E6" s="113"/>
      <c r="F6" s="113"/>
      <c r="G6" s="113"/>
      <c r="H6" s="113"/>
      <c r="I6" s="112"/>
      <c r="J6" s="117"/>
      <c r="K6" s="118"/>
    </row>
    <row r="7" spans="1:11" ht="38.25">
      <c r="A7" s="122"/>
      <c r="B7" s="123" t="s">
        <v>158</v>
      </c>
      <c r="C7" s="124"/>
      <c r="D7" s="125"/>
      <c r="E7" s="125"/>
      <c r="F7" s="125"/>
      <c r="G7" s="125"/>
      <c r="H7" s="125"/>
      <c r="I7" s="124"/>
      <c r="J7" s="124"/>
      <c r="K7" s="118"/>
    </row>
    <row r="8" spans="1:11">
      <c r="A8" s="122"/>
      <c r="B8" s="123"/>
      <c r="C8" s="124"/>
      <c r="D8" s="125"/>
      <c r="E8" s="125"/>
      <c r="F8" s="125"/>
      <c r="G8" s="125"/>
      <c r="H8" s="125"/>
      <c r="I8" s="124"/>
      <c r="J8" s="124"/>
      <c r="K8" s="118"/>
    </row>
    <row r="9" spans="1:11">
      <c r="A9" s="110">
        <v>1.1000000000000001</v>
      </c>
      <c r="B9" s="111" t="s">
        <v>178</v>
      </c>
      <c r="C9" s="124"/>
      <c r="D9" s="125"/>
      <c r="E9" s="125"/>
      <c r="F9" s="125"/>
      <c r="G9" s="125"/>
      <c r="H9" s="125"/>
      <c r="I9" s="124"/>
      <c r="J9" s="124"/>
      <c r="K9" s="118"/>
    </row>
    <row r="10" spans="1:11">
      <c r="A10" s="122"/>
      <c r="B10" s="123"/>
      <c r="C10" s="124"/>
      <c r="D10" s="125"/>
      <c r="E10" s="125"/>
      <c r="F10" s="125"/>
      <c r="G10" s="125"/>
      <c r="H10" s="125"/>
      <c r="I10" s="124"/>
      <c r="J10" s="124"/>
      <c r="K10" s="118"/>
    </row>
    <row r="11" spans="1:11" s="324" customFormat="1" ht="48.75" customHeight="1">
      <c r="A11" s="115">
        <v>1.1100000000000001</v>
      </c>
      <c r="B11" s="252" t="s">
        <v>247</v>
      </c>
      <c r="C11" s="254" t="s">
        <v>37</v>
      </c>
      <c r="D11" s="246">
        <f>D4+0.4</f>
        <v>10</v>
      </c>
      <c r="E11" s="246">
        <f>E4+0.4</f>
        <v>10.8</v>
      </c>
      <c r="F11" s="254"/>
      <c r="G11" s="266"/>
      <c r="H11" s="266"/>
      <c r="I11" s="444">
        <f>D11*E11</f>
        <v>108</v>
      </c>
      <c r="J11" s="272">
        <v>100</v>
      </c>
      <c r="K11" s="308">
        <f>I11*J11</f>
        <v>10800</v>
      </c>
    </row>
    <row r="12" spans="1:11">
      <c r="A12" s="122"/>
      <c r="B12" s="123"/>
      <c r="C12" s="124"/>
      <c r="D12" s="125"/>
      <c r="E12" s="125"/>
      <c r="F12" s="125"/>
      <c r="G12" s="125"/>
      <c r="H12" s="125"/>
      <c r="I12" s="124"/>
      <c r="J12" s="124"/>
      <c r="K12" s="118"/>
    </row>
    <row r="13" spans="1:11">
      <c r="A13" s="110">
        <v>1.2</v>
      </c>
      <c r="B13" s="111" t="s">
        <v>179</v>
      </c>
      <c r="C13" s="124"/>
      <c r="D13" s="125"/>
      <c r="E13" s="125"/>
      <c r="F13" s="125"/>
      <c r="G13" s="125"/>
      <c r="H13" s="125"/>
      <c r="I13" s="124"/>
      <c r="J13" s="124"/>
      <c r="K13" s="118"/>
    </row>
    <row r="14" spans="1:11">
      <c r="A14" s="122"/>
      <c r="B14" s="123"/>
      <c r="C14" s="124"/>
      <c r="D14" s="125"/>
      <c r="E14" s="125"/>
      <c r="F14" s="125"/>
      <c r="G14" s="125"/>
      <c r="H14" s="125"/>
      <c r="I14" s="124"/>
      <c r="J14" s="124"/>
      <c r="K14" s="118"/>
    </row>
    <row r="15" spans="1:11" ht="38.25">
      <c r="A15" s="8"/>
      <c r="B15" s="123" t="s">
        <v>33</v>
      </c>
      <c r="C15" s="124"/>
      <c r="D15" s="125"/>
      <c r="E15" s="125"/>
      <c r="F15" s="125"/>
      <c r="G15" s="125"/>
      <c r="H15" s="125"/>
      <c r="I15" s="124"/>
      <c r="J15" s="124"/>
      <c r="K15" s="118"/>
    </row>
    <row r="16" spans="1:11">
      <c r="A16" s="122"/>
      <c r="B16" s="123"/>
      <c r="C16" s="124"/>
      <c r="D16" s="125"/>
      <c r="E16" s="125"/>
      <c r="F16" s="125"/>
      <c r="G16" s="125"/>
      <c r="H16" s="125"/>
      <c r="I16" s="124"/>
      <c r="J16" s="124"/>
      <c r="K16" s="118"/>
    </row>
    <row r="17" spans="1:11" ht="21.75" customHeight="1">
      <c r="A17" s="399">
        <v>1.21</v>
      </c>
      <c r="B17" s="400" t="s">
        <v>43</v>
      </c>
      <c r="C17" s="401" t="s">
        <v>34</v>
      </c>
      <c r="D17" s="412"/>
      <c r="E17" s="412"/>
      <c r="F17" s="401"/>
      <c r="G17" s="414"/>
      <c r="H17" s="414"/>
      <c r="I17" s="401">
        <f>I11*1</f>
        <v>108</v>
      </c>
      <c r="J17" s="411">
        <v>250</v>
      </c>
      <c r="K17" s="404">
        <f>I17*J17</f>
        <v>27000</v>
      </c>
    </row>
    <row r="18" spans="1:11">
      <c r="A18" s="122"/>
      <c r="B18" s="123"/>
      <c r="C18" s="124"/>
      <c r="D18" s="164"/>
      <c r="E18" s="164"/>
      <c r="F18" s="164"/>
      <c r="G18" s="164"/>
      <c r="H18" s="164"/>
      <c r="I18" s="124"/>
      <c r="J18" s="124"/>
      <c r="K18" s="118"/>
    </row>
    <row r="19" spans="1:11" ht="38.25">
      <c r="A19" s="127">
        <v>1.22</v>
      </c>
      <c r="B19" s="123" t="s">
        <v>363</v>
      </c>
      <c r="C19" s="124" t="s">
        <v>34</v>
      </c>
      <c r="D19" s="125"/>
      <c r="E19" s="125"/>
      <c r="F19" s="125"/>
      <c r="G19" s="125"/>
      <c r="H19" s="255" t="s">
        <v>119</v>
      </c>
      <c r="I19" s="124">
        <f>(I11*0.25)+(0.3*I17)</f>
        <v>59.4</v>
      </c>
      <c r="J19" s="117">
        <v>350</v>
      </c>
      <c r="K19" s="118">
        <f>I19*J19</f>
        <v>20790</v>
      </c>
    </row>
    <row r="20" spans="1:11">
      <c r="A20" s="122"/>
      <c r="B20" s="123"/>
      <c r="C20" s="124"/>
      <c r="D20" s="125"/>
      <c r="E20" s="125"/>
      <c r="F20" s="125"/>
      <c r="G20" s="125"/>
      <c r="H20" s="125"/>
      <c r="I20" s="124"/>
      <c r="J20" s="124"/>
      <c r="K20" s="118"/>
    </row>
    <row r="21" spans="1:11" ht="38.25">
      <c r="A21" s="405">
        <v>1.23</v>
      </c>
      <c r="B21" s="406" t="s">
        <v>438</v>
      </c>
      <c r="C21" s="407" t="s">
        <v>34</v>
      </c>
      <c r="D21" s="415"/>
      <c r="E21" s="415"/>
      <c r="F21" s="415"/>
      <c r="G21" s="415"/>
      <c r="H21" s="408" t="s">
        <v>204</v>
      </c>
      <c r="I21" s="401">
        <f>60%*(SUM($I17))</f>
        <v>64.8</v>
      </c>
      <c r="J21" s="411">
        <v>600</v>
      </c>
      <c r="K21" s="404">
        <f>I21*J21</f>
        <v>38880</v>
      </c>
    </row>
    <row r="22" spans="1:11">
      <c r="A22" s="128"/>
      <c r="B22" s="129"/>
      <c r="C22" s="130"/>
      <c r="D22" s="131"/>
      <c r="E22" s="131"/>
      <c r="F22" s="131"/>
      <c r="G22" s="131"/>
      <c r="H22" s="264"/>
      <c r="I22" s="130"/>
      <c r="J22" s="124"/>
      <c r="K22" s="118"/>
    </row>
    <row r="23" spans="1:11" ht="25.5">
      <c r="A23" s="405">
        <v>1.24</v>
      </c>
      <c r="B23" s="406" t="s">
        <v>35</v>
      </c>
      <c r="C23" s="407" t="s">
        <v>34</v>
      </c>
      <c r="D23" s="415"/>
      <c r="E23" s="415"/>
      <c r="F23" s="415"/>
      <c r="G23" s="415"/>
      <c r="H23" s="408" t="s">
        <v>153</v>
      </c>
      <c r="I23" s="407">
        <f>30%*(SUM($I17))</f>
        <v>32.4</v>
      </c>
      <c r="J23" s="411">
        <v>960</v>
      </c>
      <c r="K23" s="404">
        <f>I23*J23</f>
        <v>31104</v>
      </c>
    </row>
    <row r="24" spans="1:11">
      <c r="A24" s="128"/>
      <c r="B24" s="129"/>
      <c r="C24" s="130"/>
      <c r="D24" s="131"/>
      <c r="E24" s="131"/>
      <c r="F24" s="131"/>
      <c r="G24" s="131"/>
      <c r="H24" s="264"/>
      <c r="I24" s="130"/>
      <c r="J24" s="124"/>
      <c r="K24" s="118"/>
    </row>
    <row r="25" spans="1:11" ht="25.5">
      <c r="A25" s="405">
        <v>1.25</v>
      </c>
      <c r="B25" s="406" t="s">
        <v>36</v>
      </c>
      <c r="C25" s="407" t="s">
        <v>34</v>
      </c>
      <c r="D25" s="415"/>
      <c r="E25" s="415"/>
      <c r="F25" s="415"/>
      <c r="G25" s="415"/>
      <c r="H25" s="408" t="s">
        <v>215</v>
      </c>
      <c r="I25" s="407">
        <f>10%*(SUM($I17))</f>
        <v>10.8</v>
      </c>
      <c r="J25" s="411">
        <v>1800</v>
      </c>
      <c r="K25" s="404">
        <f>I25*J25</f>
        <v>19440</v>
      </c>
    </row>
    <row r="26" spans="1:11">
      <c r="A26" s="128"/>
      <c r="B26" s="129"/>
      <c r="C26" s="130"/>
      <c r="D26" s="131"/>
      <c r="E26" s="131"/>
      <c r="F26" s="131"/>
      <c r="G26" s="131"/>
      <c r="H26" s="318"/>
      <c r="I26" s="130"/>
      <c r="J26" s="117"/>
      <c r="K26" s="118"/>
    </row>
    <row r="27" spans="1:11">
      <c r="A27" s="110">
        <v>1.3</v>
      </c>
      <c r="B27" s="111" t="s">
        <v>180</v>
      </c>
      <c r="C27" s="132"/>
      <c r="D27" s="131"/>
      <c r="E27" s="131"/>
      <c r="F27" s="131"/>
      <c r="G27" s="131"/>
      <c r="H27" s="131"/>
      <c r="I27" s="132"/>
      <c r="J27" s="230"/>
      <c r="K27" s="118"/>
    </row>
    <row r="28" spans="1:11">
      <c r="A28" s="133"/>
      <c r="B28" s="129"/>
      <c r="C28" s="132"/>
      <c r="D28" s="131"/>
      <c r="E28" s="131"/>
      <c r="F28" s="131"/>
      <c r="G28" s="131"/>
      <c r="H28" s="131"/>
      <c r="I28" s="132"/>
      <c r="J28" s="230"/>
      <c r="K28" s="118"/>
    </row>
    <row r="29" spans="1:11" ht="27.75" customHeight="1">
      <c r="A29" s="122">
        <v>1.31</v>
      </c>
      <c r="B29" s="123" t="s">
        <v>387</v>
      </c>
      <c r="C29" s="254" t="s">
        <v>37</v>
      </c>
      <c r="D29" s="329">
        <f>D4</f>
        <v>9.6</v>
      </c>
      <c r="E29" s="153">
        <f>E4</f>
        <v>10.4</v>
      </c>
      <c r="F29" s="125"/>
      <c r="G29" s="125"/>
      <c r="H29" s="125"/>
      <c r="I29" s="417">
        <f>D29*E29</f>
        <v>99.84</v>
      </c>
      <c r="J29" s="117">
        <v>100</v>
      </c>
      <c r="K29" s="118">
        <f>I29*J29</f>
        <v>9984</v>
      </c>
    </row>
    <row r="30" spans="1:11">
      <c r="A30" s="128"/>
      <c r="B30" s="129"/>
      <c r="C30" s="130"/>
      <c r="D30" s="131"/>
      <c r="E30" s="131"/>
      <c r="F30" s="131"/>
      <c r="G30" s="131"/>
      <c r="H30" s="318"/>
      <c r="I30" s="130"/>
      <c r="J30" s="117"/>
      <c r="K30" s="118"/>
    </row>
    <row r="31" spans="1:11" s="154" customFormat="1" ht="15">
      <c r="A31" s="487" t="s">
        <v>111</v>
      </c>
      <c r="B31" s="488"/>
      <c r="C31" s="488"/>
      <c r="D31" s="488"/>
      <c r="E31" s="488"/>
      <c r="F31" s="488"/>
      <c r="G31" s="488"/>
      <c r="H31" s="488"/>
      <c r="I31" s="488"/>
      <c r="J31" s="489"/>
      <c r="K31" s="240">
        <f>SUM(K5:K29)</f>
        <v>157998</v>
      </c>
    </row>
    <row r="32" spans="1:11" s="11" customFormat="1">
      <c r="A32" s="107"/>
      <c r="B32" s="134"/>
      <c r="C32" s="109"/>
      <c r="D32" s="109"/>
      <c r="E32" s="109"/>
      <c r="F32" s="109"/>
      <c r="G32" s="109"/>
      <c r="H32" s="109"/>
      <c r="I32" s="109"/>
      <c r="J32" s="118"/>
      <c r="K32" s="118"/>
    </row>
    <row r="33" spans="1:11">
      <c r="A33" s="110">
        <v>2</v>
      </c>
      <c r="B33" s="111" t="s">
        <v>50</v>
      </c>
      <c r="C33" s="112"/>
      <c r="D33" s="113"/>
      <c r="E33" s="113"/>
      <c r="F33" s="113"/>
      <c r="G33" s="113"/>
      <c r="H33" s="113"/>
      <c r="I33" s="112"/>
      <c r="J33" s="117"/>
      <c r="K33" s="118"/>
    </row>
    <row r="34" spans="1:11">
      <c r="A34" s="119"/>
      <c r="B34" s="120"/>
      <c r="C34" s="112"/>
      <c r="D34" s="113"/>
      <c r="E34" s="113"/>
      <c r="F34" s="113"/>
      <c r="G34" s="113"/>
      <c r="H34" s="113"/>
      <c r="I34" s="112"/>
      <c r="J34" s="117"/>
      <c r="K34" s="118"/>
    </row>
    <row r="35" spans="1:11">
      <c r="A35" s="110">
        <v>2.1</v>
      </c>
      <c r="B35" s="136" t="s">
        <v>48</v>
      </c>
      <c r="C35" s="112"/>
      <c r="D35" s="113"/>
      <c r="E35" s="113"/>
      <c r="F35" s="113"/>
      <c r="G35" s="113"/>
      <c r="H35" s="113"/>
      <c r="I35" s="112"/>
      <c r="J35" s="117"/>
      <c r="K35" s="118"/>
    </row>
    <row r="36" spans="1:11" ht="15">
      <c r="A36" s="110"/>
      <c r="B36" s="114"/>
      <c r="C36" s="112"/>
      <c r="D36" s="113"/>
      <c r="E36" s="113"/>
      <c r="F36" s="113"/>
      <c r="G36" s="113"/>
      <c r="H36" s="113"/>
      <c r="I36" s="112"/>
      <c r="J36" s="117"/>
      <c r="K36" s="118"/>
    </row>
    <row r="37" spans="1:11" ht="59.25" customHeight="1">
      <c r="A37" s="122">
        <v>2.11</v>
      </c>
      <c r="B37" s="123" t="s">
        <v>449</v>
      </c>
      <c r="C37" s="112" t="s">
        <v>13</v>
      </c>
      <c r="D37" s="245">
        <f>D4</f>
        <v>9.6</v>
      </c>
      <c r="E37" s="245">
        <f>E4</f>
        <v>10.4</v>
      </c>
      <c r="F37" s="330">
        <v>0.5</v>
      </c>
      <c r="G37" s="113"/>
      <c r="H37" s="113" t="s">
        <v>144</v>
      </c>
      <c r="I37" s="248">
        <f>((D37*2)+(E37*3))*F37</f>
        <v>25.200000000000003</v>
      </c>
      <c r="J37" s="117">
        <v>495</v>
      </c>
      <c r="K37" s="118">
        <f>I37*J37</f>
        <v>12474.000000000002</v>
      </c>
    </row>
    <row r="38" spans="1:11">
      <c r="A38" s="122"/>
      <c r="B38" s="123"/>
      <c r="C38" s="112"/>
      <c r="D38" s="113"/>
      <c r="E38" s="113"/>
      <c r="F38" s="113"/>
      <c r="G38" s="113"/>
      <c r="H38" s="113"/>
      <c r="I38" s="112"/>
      <c r="J38" s="117"/>
      <c r="K38" s="118"/>
    </row>
    <row r="39" spans="1:11" ht="54" customHeight="1">
      <c r="A39" s="122">
        <v>2.12</v>
      </c>
      <c r="B39" s="123" t="s">
        <v>451</v>
      </c>
      <c r="C39" s="112" t="s">
        <v>12</v>
      </c>
      <c r="D39" s="113"/>
      <c r="E39" s="113"/>
      <c r="F39" s="113">
        <v>0.1</v>
      </c>
      <c r="G39" s="113"/>
      <c r="H39" s="113" t="s">
        <v>200</v>
      </c>
      <c r="I39" s="248">
        <f>I37*F39</f>
        <v>2.5200000000000005</v>
      </c>
      <c r="J39" s="117">
        <v>13970</v>
      </c>
      <c r="K39" s="118">
        <f>I39*J39</f>
        <v>35204.400000000009</v>
      </c>
    </row>
    <row r="40" spans="1:11">
      <c r="A40" s="122"/>
      <c r="B40" s="120"/>
      <c r="C40" s="112"/>
      <c r="D40" s="113"/>
      <c r="E40" s="113"/>
      <c r="F40" s="113"/>
      <c r="G40" s="113"/>
      <c r="H40" s="113"/>
      <c r="I40" s="112"/>
      <c r="J40" s="117"/>
      <c r="K40" s="118"/>
    </row>
    <row r="41" spans="1:11">
      <c r="A41" s="119">
        <v>2.2000000000000002</v>
      </c>
      <c r="B41" s="136" t="s">
        <v>82</v>
      </c>
      <c r="C41" s="112"/>
      <c r="D41" s="113"/>
      <c r="E41" s="113"/>
      <c r="F41" s="113"/>
      <c r="G41" s="113"/>
      <c r="H41" s="113"/>
      <c r="I41" s="112"/>
      <c r="J41" s="117"/>
      <c r="K41" s="118"/>
    </row>
    <row r="42" spans="1:11">
      <c r="A42" s="119"/>
      <c r="B42" s="136"/>
      <c r="C42" s="112"/>
      <c r="D42" s="113"/>
      <c r="E42" s="113"/>
      <c r="F42" s="113"/>
      <c r="G42" s="113"/>
      <c r="H42" s="113"/>
      <c r="I42" s="112"/>
      <c r="J42" s="117"/>
      <c r="K42" s="118"/>
    </row>
    <row r="43" spans="1:11" ht="38.25">
      <c r="A43" s="122">
        <v>2.21</v>
      </c>
      <c r="B43" s="129" t="s">
        <v>45</v>
      </c>
      <c r="C43" s="112" t="s">
        <v>38</v>
      </c>
      <c r="D43" s="113"/>
      <c r="E43" s="113"/>
      <c r="F43" s="113"/>
      <c r="G43" s="113"/>
      <c r="H43" s="135" t="s">
        <v>72</v>
      </c>
      <c r="I43" s="248">
        <v>237</v>
      </c>
      <c r="J43" s="117">
        <v>150</v>
      </c>
      <c r="K43" s="118">
        <f>I43*J43</f>
        <v>35550</v>
      </c>
    </row>
    <row r="44" spans="1:11" s="11" customFormat="1">
      <c r="A44" s="119"/>
      <c r="B44" s="129"/>
      <c r="C44" s="79"/>
      <c r="D44" s="113"/>
      <c r="E44" s="113"/>
      <c r="F44" s="113"/>
      <c r="G44" s="113"/>
      <c r="H44" s="113"/>
      <c r="I44" s="112"/>
      <c r="J44" s="117"/>
      <c r="K44" s="118"/>
    </row>
    <row r="45" spans="1:11" s="154" customFormat="1" ht="15">
      <c r="A45" s="487" t="s">
        <v>102</v>
      </c>
      <c r="B45" s="488"/>
      <c r="C45" s="488"/>
      <c r="D45" s="488"/>
      <c r="E45" s="488"/>
      <c r="F45" s="488"/>
      <c r="G45" s="488"/>
      <c r="H45" s="488"/>
      <c r="I45" s="488"/>
      <c r="J45" s="489"/>
      <c r="K45" s="240">
        <f>SUM(K32:K44)</f>
        <v>83228.400000000009</v>
      </c>
    </row>
    <row r="46" spans="1:11" s="11" customFormat="1">
      <c r="A46" s="107"/>
      <c r="B46" s="134"/>
      <c r="C46" s="109"/>
      <c r="D46" s="109"/>
      <c r="E46" s="109"/>
      <c r="F46" s="109"/>
      <c r="G46" s="109"/>
      <c r="H46" s="109"/>
      <c r="I46" s="109"/>
      <c r="J46" s="118"/>
      <c r="K46" s="118"/>
    </row>
    <row r="47" spans="1:11">
      <c r="A47" s="119">
        <v>3</v>
      </c>
      <c r="B47" s="136" t="s">
        <v>42</v>
      </c>
      <c r="C47" s="79"/>
      <c r="D47" s="125"/>
      <c r="E47" s="125"/>
      <c r="F47" s="125"/>
      <c r="G47" s="125"/>
      <c r="H47" s="125"/>
      <c r="I47" s="124"/>
      <c r="J47" s="124"/>
      <c r="K47" s="118"/>
    </row>
    <row r="48" spans="1:11">
      <c r="A48" s="119"/>
      <c r="B48" s="129"/>
      <c r="C48" s="112"/>
      <c r="D48" s="113"/>
      <c r="E48" s="113"/>
      <c r="F48" s="113"/>
      <c r="G48" s="113"/>
      <c r="H48" s="113"/>
      <c r="I48" s="112"/>
      <c r="J48" s="117"/>
      <c r="K48" s="118"/>
    </row>
    <row r="49" spans="1:11">
      <c r="A49" s="119">
        <v>3.1</v>
      </c>
      <c r="B49" s="136" t="s">
        <v>188</v>
      </c>
      <c r="C49" s="112"/>
      <c r="D49" s="113"/>
      <c r="E49" s="113"/>
      <c r="F49" s="113"/>
      <c r="G49" s="113"/>
      <c r="H49" s="113"/>
      <c r="I49" s="112"/>
      <c r="J49" s="117"/>
      <c r="K49" s="118"/>
    </row>
    <row r="50" spans="1:11">
      <c r="A50" s="119"/>
      <c r="B50" s="129"/>
      <c r="C50" s="112"/>
      <c r="D50" s="113"/>
      <c r="E50" s="113"/>
      <c r="F50" s="113"/>
      <c r="G50" s="113"/>
      <c r="H50" s="113"/>
      <c r="I50" s="112"/>
      <c r="J50" s="117"/>
      <c r="K50" s="118"/>
    </row>
    <row r="51" spans="1:11" ht="38.25">
      <c r="A51" s="119"/>
      <c r="B51" s="129" t="s">
        <v>259</v>
      </c>
      <c r="C51" s="112"/>
      <c r="D51" s="113"/>
      <c r="E51" s="113"/>
      <c r="F51" s="113"/>
      <c r="G51" s="113"/>
      <c r="H51" s="113"/>
      <c r="I51" s="112"/>
      <c r="J51" s="117"/>
      <c r="K51" s="118"/>
    </row>
    <row r="52" spans="1:11">
      <c r="A52" s="119"/>
      <c r="B52" s="129"/>
      <c r="C52" s="112"/>
      <c r="D52" s="113"/>
      <c r="E52" s="113"/>
      <c r="F52" s="113"/>
      <c r="G52" s="113"/>
      <c r="H52" s="113"/>
      <c r="I52" s="112"/>
      <c r="J52" s="117"/>
      <c r="K52" s="118"/>
    </row>
    <row r="53" spans="1:11" ht="23.25" customHeight="1">
      <c r="A53" s="122">
        <v>3.11</v>
      </c>
      <c r="B53" s="129" t="s">
        <v>41</v>
      </c>
      <c r="C53" s="112" t="s">
        <v>37</v>
      </c>
      <c r="D53" s="245">
        <f>D4</f>
        <v>9.6</v>
      </c>
      <c r="E53" s="245">
        <f>E4</f>
        <v>10.4</v>
      </c>
      <c r="F53" s="113"/>
      <c r="G53" s="113"/>
      <c r="H53" s="113" t="s">
        <v>249</v>
      </c>
      <c r="I53" s="430">
        <f>((D53*2)+(E53*3))*D54</f>
        <v>80.640000000000015</v>
      </c>
      <c r="J53" s="117">
        <v>2200</v>
      </c>
      <c r="K53" s="118">
        <f>I53*J53</f>
        <v>177408.00000000003</v>
      </c>
    </row>
    <row r="54" spans="1:11">
      <c r="A54" s="119"/>
      <c r="B54" s="129"/>
      <c r="C54" s="112"/>
      <c r="D54" s="245">
        <v>1.6</v>
      </c>
      <c r="E54" s="245"/>
      <c r="F54" s="245"/>
      <c r="G54" s="113"/>
      <c r="H54" s="113"/>
      <c r="I54" s="112"/>
      <c r="J54" s="117"/>
      <c r="K54" s="118"/>
    </row>
    <row r="55" spans="1:11">
      <c r="A55" s="119">
        <v>3.2</v>
      </c>
      <c r="B55" s="136" t="s">
        <v>460</v>
      </c>
      <c r="C55" s="112"/>
      <c r="D55" s="245"/>
      <c r="E55" s="245"/>
      <c r="F55" s="245"/>
      <c r="G55" s="113"/>
      <c r="H55" s="113"/>
      <c r="I55" s="112"/>
      <c r="J55" s="117"/>
      <c r="K55" s="118"/>
    </row>
    <row r="56" spans="1:11">
      <c r="A56" s="119"/>
      <c r="B56" s="129"/>
      <c r="C56" s="112"/>
      <c r="D56" s="245"/>
      <c r="E56" s="245"/>
      <c r="F56" s="245"/>
      <c r="G56" s="113"/>
      <c r="H56" s="113"/>
      <c r="I56" s="112"/>
      <c r="J56" s="117"/>
      <c r="K56" s="118"/>
    </row>
    <row r="57" spans="1:11" ht="26.25" customHeight="1">
      <c r="A57" s="122">
        <v>3.21</v>
      </c>
      <c r="B57" s="244" t="s">
        <v>461</v>
      </c>
      <c r="C57" s="112" t="s">
        <v>37</v>
      </c>
      <c r="D57" s="113"/>
      <c r="E57" s="113"/>
      <c r="F57" s="113"/>
      <c r="G57" s="113"/>
      <c r="H57" s="113"/>
      <c r="I57" s="421">
        <f>I53*2</f>
        <v>161.28000000000003</v>
      </c>
      <c r="J57" s="117">
        <v>550</v>
      </c>
      <c r="K57" s="118">
        <f>I57*J57</f>
        <v>88704.000000000015</v>
      </c>
    </row>
    <row r="58" spans="1:11">
      <c r="A58" s="119"/>
      <c r="B58" s="123"/>
      <c r="C58" s="112"/>
      <c r="D58" s="125"/>
      <c r="E58" s="125"/>
      <c r="F58" s="125"/>
      <c r="G58" s="125"/>
      <c r="H58" s="125"/>
      <c r="I58" s="113"/>
      <c r="J58" s="125"/>
      <c r="K58" s="118"/>
    </row>
    <row r="59" spans="1:11" s="154" customFormat="1" ht="15">
      <c r="A59" s="487" t="s">
        <v>103</v>
      </c>
      <c r="B59" s="488"/>
      <c r="C59" s="488"/>
      <c r="D59" s="488"/>
      <c r="E59" s="488"/>
      <c r="F59" s="488"/>
      <c r="G59" s="488"/>
      <c r="H59" s="488"/>
      <c r="I59" s="488"/>
      <c r="J59" s="489"/>
      <c r="K59" s="240">
        <f>SUM(K46:K58)</f>
        <v>266112.00000000006</v>
      </c>
    </row>
    <row r="60" spans="1:11" s="11" customFormat="1">
      <c r="A60" s="119"/>
      <c r="B60" s="123"/>
      <c r="C60" s="112"/>
      <c r="D60" s="123"/>
      <c r="E60" s="123"/>
      <c r="F60" s="123"/>
      <c r="G60" s="123"/>
      <c r="H60" s="123"/>
      <c r="I60" s="124"/>
      <c r="J60" s="123"/>
      <c r="K60" s="118"/>
    </row>
    <row r="61" spans="1:11">
      <c r="A61" s="119">
        <v>4</v>
      </c>
      <c r="B61" s="136" t="s">
        <v>14</v>
      </c>
      <c r="C61" s="112"/>
      <c r="D61" s="125"/>
      <c r="E61" s="125"/>
      <c r="F61" s="125"/>
      <c r="G61" s="125"/>
      <c r="H61" s="125"/>
      <c r="I61" s="124"/>
      <c r="J61" s="124"/>
      <c r="K61" s="118"/>
    </row>
    <row r="62" spans="1:11">
      <c r="A62" s="119"/>
      <c r="B62" s="123"/>
      <c r="C62" s="112"/>
      <c r="D62" s="113"/>
      <c r="E62" s="113"/>
      <c r="F62" s="113"/>
      <c r="G62" s="113"/>
      <c r="H62" s="113"/>
      <c r="I62" s="112"/>
      <c r="J62" s="117"/>
      <c r="K62" s="118"/>
    </row>
    <row r="63" spans="1:11">
      <c r="A63" s="119">
        <v>4.0999999999999996</v>
      </c>
      <c r="B63" s="136" t="s">
        <v>85</v>
      </c>
      <c r="C63" s="112"/>
      <c r="D63" s="113"/>
      <c r="E63" s="113"/>
      <c r="F63" s="113"/>
      <c r="G63" s="113"/>
      <c r="H63" s="113"/>
      <c r="I63" s="112"/>
      <c r="J63" s="117"/>
      <c r="K63" s="118"/>
    </row>
    <row r="64" spans="1:11">
      <c r="A64" s="119"/>
      <c r="B64" s="123"/>
      <c r="C64" s="112"/>
      <c r="D64" s="113"/>
      <c r="E64" s="113"/>
      <c r="F64" s="113"/>
      <c r="G64" s="113"/>
      <c r="H64" s="113"/>
      <c r="I64" s="112"/>
      <c r="J64" s="117"/>
      <c r="K64" s="118"/>
    </row>
    <row r="65" spans="1:11" ht="39.75" customHeight="1">
      <c r="A65" s="119"/>
      <c r="B65" s="123" t="s">
        <v>343</v>
      </c>
      <c r="C65" s="112"/>
      <c r="D65" s="113"/>
      <c r="E65" s="113"/>
      <c r="F65" s="113"/>
      <c r="G65" s="113"/>
      <c r="H65" s="113"/>
      <c r="I65" s="112"/>
      <c r="J65" s="117"/>
      <c r="K65" s="118"/>
    </row>
    <row r="66" spans="1:11">
      <c r="A66" s="119"/>
      <c r="B66" s="123"/>
      <c r="C66" s="112"/>
      <c r="D66" s="113"/>
      <c r="E66" s="113"/>
      <c r="F66" s="113"/>
      <c r="G66" s="113"/>
      <c r="H66" s="113"/>
      <c r="I66" s="112"/>
      <c r="J66" s="117"/>
      <c r="K66" s="118"/>
    </row>
    <row r="67" spans="1:11">
      <c r="A67" s="122">
        <v>4.1100000000000003</v>
      </c>
      <c r="B67" s="252" t="s">
        <v>250</v>
      </c>
      <c r="C67" s="112" t="s">
        <v>3</v>
      </c>
      <c r="D67" s="245">
        <f>10*2</f>
        <v>20</v>
      </c>
      <c r="E67" s="245"/>
      <c r="F67" s="245"/>
      <c r="G67" s="125"/>
      <c r="H67" s="331"/>
      <c r="I67" s="124">
        <f>SUM(D67)</f>
        <v>20</v>
      </c>
      <c r="J67" s="272">
        <v>650</v>
      </c>
      <c r="K67" s="118">
        <f>I67*J67</f>
        <v>13000</v>
      </c>
    </row>
    <row r="68" spans="1:11">
      <c r="A68" s="122"/>
      <c r="B68" s="252"/>
      <c r="C68" s="112"/>
      <c r="D68" s="245"/>
      <c r="E68" s="245"/>
      <c r="F68" s="245"/>
      <c r="G68" s="125"/>
      <c r="H68" s="331"/>
      <c r="I68" s="124"/>
      <c r="J68" s="272"/>
      <c r="K68" s="118"/>
    </row>
    <row r="69" spans="1:11">
      <c r="A69" s="306">
        <v>4.12</v>
      </c>
      <c r="B69" s="252" t="s">
        <v>157</v>
      </c>
      <c r="C69" s="112" t="s">
        <v>3</v>
      </c>
      <c r="D69" s="245">
        <v>10</v>
      </c>
      <c r="E69" s="245">
        <v>4.5</v>
      </c>
      <c r="F69" s="245"/>
      <c r="G69" s="125"/>
      <c r="H69" s="331"/>
      <c r="I69" s="124">
        <f>D69+E69</f>
        <v>14.5</v>
      </c>
      <c r="J69" s="272">
        <v>650</v>
      </c>
      <c r="K69" s="118">
        <f>I69*J69</f>
        <v>9425</v>
      </c>
    </row>
    <row r="70" spans="1:11">
      <c r="A70" s="122"/>
      <c r="B70" s="123"/>
      <c r="C70" s="112"/>
      <c r="D70" s="125"/>
      <c r="E70" s="125"/>
      <c r="F70" s="125"/>
      <c r="G70" s="125"/>
      <c r="H70" s="255"/>
      <c r="I70" s="124"/>
      <c r="J70" s="124"/>
      <c r="K70" s="118"/>
    </row>
    <row r="71" spans="1:11" ht="44.25" customHeight="1">
      <c r="A71" s="122">
        <v>4.13</v>
      </c>
      <c r="B71" s="123" t="s">
        <v>394</v>
      </c>
      <c r="C71" s="112" t="s">
        <v>3</v>
      </c>
      <c r="D71" s="126"/>
      <c r="E71" s="125"/>
      <c r="F71" s="125"/>
      <c r="G71" s="125"/>
      <c r="H71" s="255"/>
      <c r="I71" s="124">
        <f>D67</f>
        <v>20</v>
      </c>
      <c r="J71" s="272">
        <v>100</v>
      </c>
      <c r="K71" s="118">
        <f>I71*J71</f>
        <v>2000</v>
      </c>
    </row>
    <row r="72" spans="1:11">
      <c r="A72" s="122"/>
      <c r="B72" s="123"/>
      <c r="C72" s="112"/>
      <c r="D72" s="125"/>
      <c r="E72" s="125"/>
      <c r="F72" s="125"/>
      <c r="G72" s="125"/>
      <c r="H72" s="255"/>
      <c r="I72" s="124"/>
      <c r="J72" s="124"/>
      <c r="K72" s="118"/>
    </row>
    <row r="73" spans="1:11" s="324" customFormat="1" ht="25.5">
      <c r="A73" s="306">
        <v>4.1399999999999997</v>
      </c>
      <c r="B73" s="264" t="s">
        <v>347</v>
      </c>
      <c r="C73" s="307" t="s">
        <v>6</v>
      </c>
      <c r="D73" s="266"/>
      <c r="E73" s="266"/>
      <c r="F73" s="266"/>
      <c r="G73" s="266"/>
      <c r="H73" s="266"/>
      <c r="I73" s="254">
        <v>2</v>
      </c>
      <c r="J73" s="117">
        <v>450</v>
      </c>
      <c r="K73" s="118">
        <f>I73*J73</f>
        <v>900</v>
      </c>
    </row>
    <row r="74" spans="1:11" s="11" customFormat="1">
      <c r="A74" s="119"/>
      <c r="B74" s="123"/>
      <c r="C74" s="112"/>
      <c r="D74" s="123"/>
      <c r="E74" s="123"/>
      <c r="F74" s="123"/>
      <c r="G74" s="123"/>
      <c r="H74" s="123"/>
      <c r="I74" s="124"/>
      <c r="J74" s="123"/>
      <c r="K74" s="118"/>
    </row>
    <row r="75" spans="1:11">
      <c r="A75" s="119">
        <v>4.2</v>
      </c>
      <c r="B75" s="136" t="s">
        <v>87</v>
      </c>
      <c r="C75" s="112"/>
      <c r="D75" s="125"/>
      <c r="E75" s="125"/>
      <c r="F75" s="125"/>
      <c r="G75" s="125"/>
      <c r="H75" s="125"/>
      <c r="I75" s="124"/>
      <c r="J75" s="117"/>
      <c r="K75" s="118"/>
    </row>
    <row r="76" spans="1:11">
      <c r="A76" s="122"/>
      <c r="B76" s="165"/>
      <c r="C76" s="112"/>
      <c r="D76" s="125"/>
      <c r="E76" s="125"/>
      <c r="F76" s="125"/>
      <c r="G76" s="125"/>
      <c r="H76" s="125"/>
      <c r="I76" s="124"/>
      <c r="J76" s="117"/>
      <c r="K76" s="118"/>
    </row>
    <row r="77" spans="1:11" ht="63.75">
      <c r="A77" s="122"/>
      <c r="B77" s="123" t="s">
        <v>160</v>
      </c>
      <c r="C77" s="112"/>
      <c r="D77" s="125"/>
      <c r="E77" s="125"/>
      <c r="F77" s="125"/>
      <c r="G77" s="125"/>
      <c r="H77" s="125"/>
      <c r="I77" s="124"/>
      <c r="J77" s="117"/>
      <c r="K77" s="118"/>
    </row>
    <row r="78" spans="1:11">
      <c r="A78" s="122"/>
      <c r="B78" s="123"/>
      <c r="C78" s="112"/>
      <c r="D78" s="125"/>
      <c r="E78" s="125"/>
      <c r="F78" s="125"/>
      <c r="G78" s="125"/>
      <c r="H78" s="125"/>
      <c r="I78" s="124"/>
      <c r="J78" s="117"/>
      <c r="K78" s="118"/>
    </row>
    <row r="79" spans="1:11">
      <c r="A79" s="122"/>
      <c r="B79" s="123" t="s">
        <v>126</v>
      </c>
      <c r="C79" s="112"/>
      <c r="D79" s="125"/>
      <c r="E79" s="125"/>
      <c r="F79" s="125"/>
      <c r="G79" s="125"/>
      <c r="H79" s="125"/>
      <c r="I79" s="124"/>
      <c r="J79" s="117"/>
      <c r="K79" s="118"/>
    </row>
    <row r="80" spans="1:11">
      <c r="A80" s="122"/>
      <c r="B80" s="123"/>
      <c r="C80" s="112"/>
      <c r="D80" s="125"/>
      <c r="E80" s="125"/>
      <c r="F80" s="125"/>
      <c r="G80" s="125"/>
      <c r="H80" s="125"/>
      <c r="I80" s="124"/>
      <c r="J80" s="117"/>
      <c r="K80" s="118"/>
    </row>
    <row r="81" spans="1:11" ht="25.5">
      <c r="A81" s="399">
        <v>4.21</v>
      </c>
      <c r="B81" s="400" t="s">
        <v>396</v>
      </c>
      <c r="C81" s="410" t="s">
        <v>3</v>
      </c>
      <c r="D81" s="414"/>
      <c r="E81" s="414"/>
      <c r="F81" s="414"/>
      <c r="G81" s="414"/>
      <c r="H81" s="414"/>
      <c r="I81" s="401">
        <v>10</v>
      </c>
      <c r="J81" s="411">
        <v>500</v>
      </c>
      <c r="K81" s="404">
        <f>I81*J81</f>
        <v>5000</v>
      </c>
    </row>
    <row r="82" spans="1:11" s="11" customFormat="1">
      <c r="A82" s="119"/>
      <c r="B82" s="129"/>
      <c r="C82" s="79"/>
      <c r="D82" s="113"/>
      <c r="E82" s="113"/>
      <c r="F82" s="113"/>
      <c r="G82" s="113"/>
      <c r="H82" s="113"/>
      <c r="I82" s="112"/>
      <c r="J82" s="117"/>
      <c r="K82" s="118"/>
    </row>
    <row r="83" spans="1:11" s="154" customFormat="1" ht="15">
      <c r="A83" s="487" t="s">
        <v>104</v>
      </c>
      <c r="B83" s="488"/>
      <c r="C83" s="488"/>
      <c r="D83" s="488"/>
      <c r="E83" s="488"/>
      <c r="F83" s="488"/>
      <c r="G83" s="488"/>
      <c r="H83" s="488"/>
      <c r="I83" s="488"/>
      <c r="J83" s="489"/>
      <c r="K83" s="259">
        <f>SUM(K60:K81)</f>
        <v>30325</v>
      </c>
    </row>
    <row r="84" spans="1:11" s="154" customFormat="1" ht="15">
      <c r="A84" s="119"/>
      <c r="B84" s="123"/>
      <c r="C84" s="112"/>
      <c r="D84" s="123"/>
      <c r="E84" s="123"/>
      <c r="F84" s="123"/>
      <c r="G84" s="123"/>
      <c r="H84" s="123"/>
      <c r="I84" s="124"/>
      <c r="J84" s="123"/>
      <c r="K84" s="118"/>
    </row>
    <row r="85" spans="1:11">
      <c r="A85" s="119">
        <v>5</v>
      </c>
      <c r="B85" s="136" t="s">
        <v>255</v>
      </c>
      <c r="C85" s="112"/>
      <c r="D85" s="113"/>
      <c r="E85" s="113"/>
      <c r="F85" s="113"/>
      <c r="G85" s="113"/>
      <c r="H85" s="123"/>
      <c r="I85" s="112"/>
      <c r="J85" s="117"/>
      <c r="K85" s="118"/>
    </row>
    <row r="86" spans="1:11">
      <c r="A86" s="119"/>
      <c r="B86" s="123"/>
      <c r="C86" s="112"/>
      <c r="D86" s="113"/>
      <c r="E86" s="113"/>
      <c r="F86" s="113"/>
      <c r="G86" s="113"/>
      <c r="H86" s="123"/>
      <c r="I86" s="112"/>
      <c r="J86" s="117"/>
      <c r="K86" s="118"/>
    </row>
    <row r="87" spans="1:11">
      <c r="A87" s="119">
        <v>5.0999999999999996</v>
      </c>
      <c r="B87" s="136" t="s">
        <v>182</v>
      </c>
      <c r="C87" s="112"/>
      <c r="D87" s="113"/>
      <c r="E87" s="113"/>
      <c r="F87" s="113"/>
      <c r="G87" s="113"/>
      <c r="H87" s="123"/>
      <c r="I87" s="112"/>
      <c r="J87" s="117"/>
      <c r="K87" s="118"/>
    </row>
    <row r="88" spans="1:11">
      <c r="A88" s="119"/>
      <c r="B88" s="123"/>
      <c r="C88" s="112"/>
      <c r="D88" s="113"/>
      <c r="E88" s="113"/>
      <c r="F88" s="113"/>
      <c r="G88" s="113"/>
      <c r="H88" s="123"/>
      <c r="I88" s="112"/>
      <c r="J88" s="117"/>
      <c r="K88" s="118"/>
    </row>
    <row r="89" spans="1:11" ht="38.25">
      <c r="A89" s="122">
        <v>5.1100000000000003</v>
      </c>
      <c r="B89" s="244" t="s">
        <v>426</v>
      </c>
      <c r="C89" s="112" t="s">
        <v>37</v>
      </c>
      <c r="D89" s="245">
        <f>D4</f>
        <v>9.6</v>
      </c>
      <c r="E89" s="113">
        <f>E4</f>
        <v>10.4</v>
      </c>
      <c r="F89" s="113">
        <v>0.3</v>
      </c>
      <c r="G89" s="113"/>
      <c r="H89" s="245" t="s">
        <v>145</v>
      </c>
      <c r="I89" s="112">
        <f>(D89*E89)+(D89*F89*2)+(E89*F89*8)</f>
        <v>130.56</v>
      </c>
      <c r="J89" s="117">
        <v>550</v>
      </c>
      <c r="K89" s="118">
        <f>I89*J89</f>
        <v>71808</v>
      </c>
    </row>
    <row r="90" spans="1:11">
      <c r="A90" s="122"/>
      <c r="B90" s="244"/>
      <c r="C90" s="112"/>
      <c r="D90" s="245"/>
      <c r="E90" s="113"/>
      <c r="F90" s="113"/>
      <c r="G90" s="113"/>
      <c r="H90" s="245"/>
      <c r="I90" s="112"/>
      <c r="J90" s="117"/>
      <c r="K90" s="118"/>
    </row>
    <row r="91" spans="1:11">
      <c r="A91" s="119">
        <v>5.2</v>
      </c>
      <c r="B91" s="136" t="s">
        <v>184</v>
      </c>
      <c r="C91" s="112"/>
      <c r="D91" s="113"/>
      <c r="E91" s="113"/>
      <c r="F91" s="113"/>
      <c r="G91" s="113"/>
      <c r="H91" s="135"/>
      <c r="I91" s="112"/>
      <c r="J91" s="117"/>
      <c r="K91" s="118"/>
    </row>
    <row r="92" spans="1:11">
      <c r="A92" s="122"/>
      <c r="B92" s="252"/>
      <c r="C92" s="112"/>
      <c r="D92" s="113"/>
      <c r="E92" s="113"/>
      <c r="F92" s="113"/>
      <c r="G92" s="113"/>
      <c r="H92" s="135"/>
      <c r="I92" s="112"/>
      <c r="J92" s="117"/>
      <c r="K92" s="118"/>
    </row>
    <row r="93" spans="1:11" ht="25.5">
      <c r="A93" s="122">
        <v>5.21</v>
      </c>
      <c r="B93" s="244" t="s">
        <v>397</v>
      </c>
      <c r="C93" s="112" t="s">
        <v>34</v>
      </c>
      <c r="D93" s="245">
        <f>F4</f>
        <v>4.5</v>
      </c>
      <c r="E93" s="113">
        <f>E4</f>
        <v>10.4</v>
      </c>
      <c r="F93" s="113">
        <v>0.35</v>
      </c>
      <c r="G93" s="113"/>
      <c r="H93" s="113" t="s">
        <v>251</v>
      </c>
      <c r="I93" s="248">
        <f>(D93*E93*F93)*2</f>
        <v>32.76</v>
      </c>
      <c r="J93" s="117">
        <v>2400</v>
      </c>
      <c r="K93" s="118">
        <f>I93*J93</f>
        <v>78624</v>
      </c>
    </row>
    <row r="94" spans="1:11">
      <c r="A94" s="122"/>
      <c r="B94" s="260"/>
      <c r="C94" s="112"/>
      <c r="D94" s="125"/>
      <c r="E94" s="125"/>
      <c r="F94" s="125"/>
      <c r="G94" s="125"/>
      <c r="H94" s="125"/>
      <c r="I94" s="124"/>
      <c r="J94" s="117"/>
      <c r="K94" s="118"/>
    </row>
    <row r="95" spans="1:11" ht="25.5">
      <c r="A95" s="122">
        <v>5.22</v>
      </c>
      <c r="B95" s="244" t="s">
        <v>398</v>
      </c>
      <c r="C95" s="112" t="s">
        <v>34</v>
      </c>
      <c r="D95" s="245">
        <v>4.5</v>
      </c>
      <c r="E95" s="113">
        <f>E4</f>
        <v>10.4</v>
      </c>
      <c r="F95" s="113">
        <v>0.1</v>
      </c>
      <c r="G95" s="113"/>
      <c r="H95" s="135" t="s">
        <v>146</v>
      </c>
      <c r="I95" s="112">
        <f>(D95*E95*F95)*2</f>
        <v>9.3600000000000012</v>
      </c>
      <c r="J95" s="117">
        <v>2400</v>
      </c>
      <c r="K95" s="118">
        <f>I95*J95</f>
        <v>22464.000000000004</v>
      </c>
    </row>
    <row r="96" spans="1:11">
      <c r="A96" s="122"/>
      <c r="B96" s="123"/>
      <c r="C96" s="112"/>
      <c r="D96" s="113"/>
      <c r="E96" s="113"/>
      <c r="F96" s="113"/>
      <c r="G96" s="113"/>
      <c r="H96" s="135"/>
      <c r="I96" s="112"/>
      <c r="J96" s="117"/>
      <c r="K96" s="118"/>
    </row>
    <row r="97" spans="1:11" ht="63.75">
      <c r="A97" s="122">
        <v>5.23</v>
      </c>
      <c r="B97" s="244" t="s">
        <v>399</v>
      </c>
      <c r="C97" s="112" t="s">
        <v>34</v>
      </c>
      <c r="D97" s="245">
        <v>4.5</v>
      </c>
      <c r="E97" s="113">
        <f>E4</f>
        <v>10.4</v>
      </c>
      <c r="F97" s="113">
        <v>0.4</v>
      </c>
      <c r="G97" s="113"/>
      <c r="H97" s="135" t="s">
        <v>147</v>
      </c>
      <c r="I97" s="112">
        <f>(D97*E97*F97)*2</f>
        <v>37.440000000000005</v>
      </c>
      <c r="J97" s="117">
        <v>3500</v>
      </c>
      <c r="K97" s="118">
        <f>I97*J97</f>
        <v>131040.00000000001</v>
      </c>
    </row>
    <row r="98" spans="1:11">
      <c r="A98" s="122"/>
      <c r="B98" s="244"/>
      <c r="C98" s="112"/>
      <c r="D98" s="245"/>
      <c r="E98" s="113"/>
      <c r="F98" s="113"/>
      <c r="G98" s="113"/>
      <c r="H98" s="135"/>
      <c r="I98" s="112"/>
      <c r="J98" s="117"/>
      <c r="K98" s="118"/>
    </row>
    <row r="99" spans="1:11">
      <c r="A99" s="119">
        <v>5.3</v>
      </c>
      <c r="B99" s="136" t="s">
        <v>256</v>
      </c>
      <c r="C99" s="112"/>
      <c r="D99" s="113"/>
      <c r="E99" s="113"/>
      <c r="F99" s="113"/>
      <c r="G99" s="113"/>
      <c r="H99" s="135"/>
      <c r="I99" s="112"/>
      <c r="J99" s="117"/>
      <c r="K99" s="118"/>
    </row>
    <row r="100" spans="1:11">
      <c r="A100" s="122"/>
      <c r="B100" s="252"/>
      <c r="C100" s="112"/>
      <c r="D100" s="113"/>
      <c r="E100" s="113"/>
      <c r="F100" s="113"/>
      <c r="G100" s="113"/>
      <c r="H100" s="135"/>
      <c r="I100" s="112"/>
      <c r="J100" s="117"/>
      <c r="K100" s="118"/>
    </row>
    <row r="101" spans="1:11" ht="38.25">
      <c r="A101" s="122">
        <v>5.31</v>
      </c>
      <c r="B101" s="244" t="s">
        <v>257</v>
      </c>
      <c r="C101" s="112" t="s">
        <v>11</v>
      </c>
      <c r="D101" s="245"/>
      <c r="E101" s="113"/>
      <c r="F101" s="113"/>
      <c r="G101" s="113"/>
      <c r="H101" s="113"/>
      <c r="I101" s="248">
        <v>375</v>
      </c>
      <c r="J101" s="117">
        <v>700</v>
      </c>
      <c r="K101" s="118">
        <f>I101*J101</f>
        <v>262500</v>
      </c>
    </row>
    <row r="102" spans="1:11">
      <c r="A102" s="122"/>
      <c r="B102" s="123"/>
      <c r="C102" s="112"/>
      <c r="D102" s="113"/>
      <c r="E102" s="113"/>
      <c r="F102" s="113"/>
      <c r="G102" s="113"/>
      <c r="H102" s="135"/>
      <c r="I102" s="112"/>
      <c r="J102" s="117"/>
      <c r="K102" s="118"/>
    </row>
    <row r="103" spans="1:11" s="154" customFormat="1" ht="15">
      <c r="A103" s="487" t="s">
        <v>105</v>
      </c>
      <c r="B103" s="488"/>
      <c r="C103" s="488"/>
      <c r="D103" s="488"/>
      <c r="E103" s="488"/>
      <c r="F103" s="488"/>
      <c r="G103" s="488"/>
      <c r="H103" s="488"/>
      <c r="I103" s="488"/>
      <c r="J103" s="489"/>
      <c r="K103" s="240">
        <f>SUM(K85:K102)</f>
        <v>566436</v>
      </c>
    </row>
    <row r="104" spans="1:11">
      <c r="A104" s="119">
        <v>6</v>
      </c>
      <c r="B104" s="136" t="s">
        <v>252</v>
      </c>
      <c r="C104" s="112"/>
      <c r="D104" s="113"/>
      <c r="E104" s="113"/>
      <c r="F104" s="113"/>
      <c r="G104" s="113"/>
      <c r="H104" s="123"/>
      <c r="I104" s="112"/>
      <c r="J104" s="117"/>
      <c r="K104" s="118"/>
    </row>
    <row r="105" spans="1:11">
      <c r="A105" s="119"/>
      <c r="B105" s="123"/>
      <c r="C105" s="112"/>
      <c r="D105" s="113"/>
      <c r="E105" s="113"/>
      <c r="F105" s="113"/>
      <c r="G105" s="113"/>
      <c r="H105" s="123"/>
      <c r="I105" s="112"/>
      <c r="J105" s="117"/>
      <c r="K105" s="118"/>
    </row>
    <row r="106" spans="1:11">
      <c r="A106" s="119">
        <v>6.1</v>
      </c>
      <c r="B106" s="136" t="s">
        <v>253</v>
      </c>
      <c r="C106" s="112"/>
      <c r="D106" s="113"/>
      <c r="E106" s="113"/>
      <c r="F106" s="113"/>
      <c r="G106" s="113"/>
      <c r="H106" s="123"/>
      <c r="I106" s="112"/>
      <c r="J106" s="117"/>
      <c r="K106" s="118"/>
    </row>
    <row r="107" spans="1:11">
      <c r="A107" s="119"/>
      <c r="B107" s="123"/>
      <c r="C107" s="112"/>
      <c r="D107" s="113"/>
      <c r="E107" s="113"/>
      <c r="F107" s="113"/>
      <c r="G107" s="113"/>
      <c r="H107" s="123"/>
      <c r="I107" s="112"/>
      <c r="J107" s="117"/>
      <c r="K107" s="118"/>
    </row>
    <row r="108" spans="1:11" ht="76.5">
      <c r="A108" s="122">
        <v>6.11</v>
      </c>
      <c r="B108" s="244" t="s">
        <v>254</v>
      </c>
      <c r="C108" s="112" t="s">
        <v>11</v>
      </c>
      <c r="D108" s="245"/>
      <c r="E108" s="113"/>
      <c r="F108" s="113"/>
      <c r="G108" s="113"/>
      <c r="H108" s="245"/>
      <c r="I108" s="112">
        <v>1</v>
      </c>
      <c r="J108" s="117">
        <v>10000</v>
      </c>
      <c r="K108" s="118">
        <f>I108*J108</f>
        <v>10000</v>
      </c>
    </row>
    <row r="109" spans="1:11" s="154" customFormat="1" ht="15">
      <c r="A109" s="487" t="s">
        <v>106</v>
      </c>
      <c r="B109" s="488"/>
      <c r="C109" s="488"/>
      <c r="D109" s="488"/>
      <c r="E109" s="488"/>
      <c r="F109" s="488"/>
      <c r="G109" s="488"/>
      <c r="H109" s="488"/>
      <c r="I109" s="488"/>
      <c r="J109" s="489"/>
      <c r="K109" s="378">
        <f>SUM(K104:K108)</f>
        <v>10000</v>
      </c>
    </row>
    <row r="110" spans="1:11" s="11" customFormat="1" ht="15" customHeight="1">
      <c r="A110" s="498"/>
      <c r="B110" s="499"/>
      <c r="C110" s="499"/>
      <c r="D110" s="499"/>
      <c r="E110" s="499"/>
      <c r="F110" s="499"/>
      <c r="G110" s="499"/>
      <c r="H110" s="499"/>
      <c r="I110" s="499"/>
      <c r="J110" s="499"/>
      <c r="K110" s="500"/>
    </row>
    <row r="111" spans="1:11" ht="14.25" customHeight="1">
      <c r="A111" s="497" t="s">
        <v>108</v>
      </c>
      <c r="B111" s="497"/>
      <c r="C111" s="497"/>
      <c r="D111" s="497"/>
      <c r="E111" s="497"/>
      <c r="F111" s="497"/>
      <c r="G111" s="497"/>
      <c r="H111" s="497"/>
      <c r="I111" s="497"/>
      <c r="J111" s="497"/>
      <c r="K111" s="106">
        <f>K31+K45+K59+K83+K103+K109</f>
        <v>1114099.4000000001</v>
      </c>
    </row>
    <row r="112" spans="1:11" ht="14.25" customHeight="1">
      <c r="A112" s="497" t="s">
        <v>107</v>
      </c>
      <c r="B112" s="497" t="s">
        <v>7</v>
      </c>
      <c r="C112" s="497"/>
      <c r="D112" s="497"/>
      <c r="E112" s="497"/>
      <c r="F112" s="497"/>
      <c r="G112" s="497"/>
      <c r="H112" s="497"/>
      <c r="I112" s="497"/>
      <c r="J112" s="497"/>
      <c r="K112" s="106">
        <f>0.05*K111</f>
        <v>55704.970000000008</v>
      </c>
    </row>
    <row r="113" spans="1:11">
      <c r="A113" s="497" t="s">
        <v>108</v>
      </c>
      <c r="B113" s="497"/>
      <c r="C113" s="497"/>
      <c r="D113" s="497"/>
      <c r="E113" s="497"/>
      <c r="F113" s="497"/>
      <c r="G113" s="497"/>
      <c r="H113" s="497"/>
      <c r="I113" s="497"/>
      <c r="J113" s="497"/>
      <c r="K113" s="106">
        <f>SUM(K111:K112)</f>
        <v>1169804.3700000001</v>
      </c>
    </row>
    <row r="114" spans="1:11" s="11" customFormat="1" ht="39.75" customHeight="1">
      <c r="A114" s="496" t="s">
        <v>222</v>
      </c>
      <c r="B114" s="496"/>
      <c r="C114" s="496"/>
      <c r="D114" s="496"/>
      <c r="E114" s="496"/>
      <c r="F114" s="496"/>
      <c r="G114" s="496"/>
      <c r="H114" s="496"/>
      <c r="I114" s="496"/>
      <c r="J114" s="496"/>
      <c r="K114" s="496"/>
    </row>
    <row r="115" spans="1:11">
      <c r="B115" s="12"/>
    </row>
  </sheetData>
  <mergeCells count="14">
    <mergeCell ref="A1:I1"/>
    <mergeCell ref="A2:K2"/>
    <mergeCell ref="D3:H3"/>
    <mergeCell ref="A114:K114"/>
    <mergeCell ref="A111:J111"/>
    <mergeCell ref="A112:J112"/>
    <mergeCell ref="A113:J113"/>
    <mergeCell ref="A103:J103"/>
    <mergeCell ref="A31:J31"/>
    <mergeCell ref="A45:J45"/>
    <mergeCell ref="A59:J59"/>
    <mergeCell ref="A83:J83"/>
    <mergeCell ref="A110:K110"/>
    <mergeCell ref="A109:J109"/>
  </mergeCells>
  <pageMargins left="0.7" right="0.7" top="0.75" bottom="0.75" header="0.3" footer="0.3"/>
  <pageSetup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7"/>
  <sheetViews>
    <sheetView topLeftCell="A13" zoomScale="80" zoomScaleNormal="80" zoomScaleSheetLayoutView="100" workbookViewId="0">
      <selection activeCell="B21" sqref="B21"/>
    </sheetView>
  </sheetViews>
  <sheetFormatPr defaultColWidth="9.140625" defaultRowHeight="14.25"/>
  <cols>
    <col min="1" max="1" width="9.28515625" style="24" customWidth="1"/>
    <col min="2" max="2" width="65.7109375" style="185" customWidth="1"/>
    <col min="3" max="6" width="12.140625" style="68" customWidth="1"/>
    <col min="7" max="7" width="13.85546875" style="68" customWidth="1"/>
    <col min="8" max="8" width="35.5703125" style="77" customWidth="1"/>
    <col min="9" max="9" width="12.140625" style="68" customWidth="1"/>
    <col min="10" max="10" width="16.85546875" style="68" customWidth="1"/>
    <col min="11" max="11" width="17.42578125" style="11" customWidth="1"/>
    <col min="12" max="16384" width="9.140625" style="8"/>
  </cols>
  <sheetData>
    <row r="1" spans="1:11" ht="48.75" customHeight="1">
      <c r="A1" s="485" t="s">
        <v>99</v>
      </c>
      <c r="B1" s="486"/>
      <c r="C1" s="486"/>
      <c r="D1" s="486"/>
      <c r="E1" s="486"/>
      <c r="F1" s="486"/>
      <c r="G1" s="486"/>
      <c r="H1" s="486"/>
      <c r="I1" s="486"/>
      <c r="J1" s="152"/>
      <c r="K1" s="151"/>
    </row>
    <row r="2" spans="1:11" ht="14.25" customHeight="1">
      <c r="A2" s="505" t="s">
        <v>402</v>
      </c>
      <c r="B2" s="505"/>
      <c r="C2" s="505"/>
      <c r="D2" s="505"/>
      <c r="E2" s="505"/>
      <c r="F2" s="505"/>
      <c r="G2" s="505"/>
      <c r="H2" s="505"/>
      <c r="I2" s="505"/>
      <c r="J2" s="505"/>
      <c r="K2" s="505"/>
    </row>
    <row r="3" spans="1:11">
      <c r="A3" s="158" t="s">
        <v>0</v>
      </c>
      <c r="B3" s="159" t="s">
        <v>1</v>
      </c>
      <c r="C3" s="105" t="s">
        <v>2</v>
      </c>
      <c r="D3" s="506" t="s">
        <v>32</v>
      </c>
      <c r="E3" s="507"/>
      <c r="F3" s="507"/>
      <c r="G3" s="507"/>
      <c r="H3" s="508"/>
      <c r="I3" s="105" t="s">
        <v>98</v>
      </c>
      <c r="J3" s="105" t="s">
        <v>4</v>
      </c>
      <c r="K3" s="159" t="s">
        <v>5</v>
      </c>
    </row>
    <row r="4" spans="1:11">
      <c r="A4" s="187"/>
      <c r="B4" s="188"/>
      <c r="C4" s="189"/>
      <c r="D4" s="333">
        <v>10</v>
      </c>
      <c r="E4" s="333">
        <f>6+0.4</f>
        <v>6.4</v>
      </c>
      <c r="F4" s="333">
        <v>6</v>
      </c>
      <c r="G4" s="189"/>
      <c r="H4" s="335"/>
      <c r="I4" s="189"/>
      <c r="J4" s="189"/>
      <c r="K4" s="189"/>
    </row>
    <row r="5" spans="1:11">
      <c r="A5" s="190">
        <v>1</v>
      </c>
      <c r="B5" s="2" t="s">
        <v>8</v>
      </c>
      <c r="C5" s="19"/>
      <c r="D5" s="19"/>
      <c r="E5" s="19"/>
      <c r="F5" s="19"/>
      <c r="G5" s="19"/>
      <c r="H5" s="76"/>
      <c r="I5" s="19"/>
      <c r="J5" s="14"/>
      <c r="K5" s="5"/>
    </row>
    <row r="6" spans="1:11" ht="15">
      <c r="A6" s="193"/>
      <c r="B6" s="2"/>
      <c r="C6" s="19"/>
      <c r="D6" s="19"/>
      <c r="E6" s="19"/>
      <c r="F6" s="19"/>
      <c r="G6" s="19"/>
      <c r="H6" s="76"/>
      <c r="I6" s="19"/>
      <c r="J6" s="14"/>
      <c r="K6" s="5"/>
    </row>
    <row r="7" spans="1:11" ht="39.75" customHeight="1">
      <c r="A7" s="194"/>
      <c r="B7" s="21" t="s">
        <v>158</v>
      </c>
      <c r="C7" s="20"/>
      <c r="D7" s="20"/>
      <c r="E7" s="20"/>
      <c r="F7" s="20"/>
      <c r="G7" s="20"/>
      <c r="H7" s="76"/>
      <c r="I7" s="20"/>
      <c r="J7" s="20"/>
      <c r="K7" s="5"/>
    </row>
    <row r="8" spans="1:11">
      <c r="A8" s="194"/>
      <c r="B8" s="21"/>
      <c r="C8" s="20"/>
      <c r="D8" s="20"/>
      <c r="E8" s="20"/>
      <c r="F8" s="20"/>
      <c r="G8" s="20"/>
      <c r="H8" s="76"/>
      <c r="I8" s="20"/>
      <c r="J8" s="20"/>
      <c r="K8" s="5"/>
    </row>
    <row r="9" spans="1:11">
      <c r="A9" s="190">
        <v>1.1000000000000001</v>
      </c>
      <c r="B9" s="167" t="s">
        <v>178</v>
      </c>
      <c r="C9" s="20"/>
      <c r="D9" s="290"/>
      <c r="E9" s="290"/>
      <c r="F9" s="20"/>
      <c r="G9" s="20"/>
      <c r="H9" s="76"/>
      <c r="I9" s="20"/>
      <c r="J9" s="20"/>
      <c r="K9" s="5"/>
    </row>
    <row r="10" spans="1:11">
      <c r="A10" s="194"/>
      <c r="B10" s="21"/>
      <c r="C10" s="20"/>
      <c r="D10" s="290"/>
      <c r="E10" s="290"/>
      <c r="F10" s="20"/>
      <c r="G10" s="20"/>
      <c r="H10" s="76"/>
      <c r="I10" s="20"/>
      <c r="J10" s="20"/>
      <c r="K10" s="5"/>
    </row>
    <row r="11" spans="1:11" ht="40.5" customHeight="1">
      <c r="A11" s="194">
        <v>1.1100000000000001</v>
      </c>
      <c r="B11" s="21" t="s">
        <v>258</v>
      </c>
      <c r="C11" s="20" t="s">
        <v>37</v>
      </c>
      <c r="D11" s="245">
        <f>D4+0.4</f>
        <v>10.4</v>
      </c>
      <c r="E11" s="245">
        <f>E4+0.4</f>
        <v>6.8000000000000007</v>
      </c>
      <c r="F11" s="20"/>
      <c r="G11" s="20"/>
      <c r="H11" s="76"/>
      <c r="I11" s="20">
        <f>D11*E11</f>
        <v>70.720000000000013</v>
      </c>
      <c r="J11" s="14">
        <v>100</v>
      </c>
      <c r="K11" s="5">
        <f>I11*J11</f>
        <v>7072.0000000000009</v>
      </c>
    </row>
    <row r="12" spans="1:11">
      <c r="A12" s="194"/>
      <c r="B12" s="21"/>
      <c r="C12" s="20"/>
      <c r="D12" s="20"/>
      <c r="E12" s="20"/>
      <c r="F12" s="20"/>
      <c r="G12" s="20"/>
      <c r="H12" s="76"/>
      <c r="I12" s="20"/>
      <c r="J12" s="20"/>
      <c r="K12" s="5"/>
    </row>
    <row r="13" spans="1:11">
      <c r="A13" s="190">
        <v>1.2</v>
      </c>
      <c r="B13" s="167" t="s">
        <v>179</v>
      </c>
      <c r="C13" s="20"/>
      <c r="D13" s="20"/>
      <c r="E13" s="20"/>
      <c r="F13" s="20"/>
      <c r="G13" s="20"/>
      <c r="H13" s="76"/>
      <c r="I13" s="20"/>
      <c r="J13" s="20"/>
      <c r="K13" s="5"/>
    </row>
    <row r="14" spans="1:11">
      <c r="A14" s="194"/>
      <c r="B14" s="21"/>
      <c r="C14" s="20"/>
      <c r="D14" s="20"/>
      <c r="E14" s="20"/>
      <c r="F14" s="20"/>
      <c r="G14" s="20"/>
      <c r="H14" s="76"/>
      <c r="I14" s="20"/>
      <c r="J14" s="20"/>
      <c r="K14" s="5"/>
    </row>
    <row r="15" spans="1:11" ht="25.5">
      <c r="A15" s="194"/>
      <c r="B15" s="21" t="s">
        <v>349</v>
      </c>
      <c r="C15" s="20"/>
      <c r="D15" s="20"/>
      <c r="E15" s="20"/>
      <c r="F15" s="20"/>
      <c r="G15" s="20"/>
      <c r="H15" s="76"/>
      <c r="I15" s="20"/>
      <c r="J15" s="20"/>
      <c r="K15" s="5"/>
    </row>
    <row r="16" spans="1:11">
      <c r="A16" s="194"/>
      <c r="B16" s="21"/>
      <c r="C16" s="20"/>
      <c r="D16" s="20"/>
      <c r="E16" s="20"/>
      <c r="F16" s="20"/>
      <c r="G16" s="20"/>
      <c r="H16" s="76"/>
      <c r="I16" s="20"/>
      <c r="J16" s="20"/>
      <c r="K16" s="5"/>
    </row>
    <row r="17" spans="1:11" ht="15.75">
      <c r="A17" s="445">
        <v>1.21</v>
      </c>
      <c r="B17" s="446" t="s">
        <v>43</v>
      </c>
      <c r="C17" s="447" t="s">
        <v>34</v>
      </c>
      <c r="D17" s="412">
        <f>D11</f>
        <v>10.4</v>
      </c>
      <c r="E17" s="412">
        <f>F4</f>
        <v>6</v>
      </c>
      <c r="F17" s="412">
        <v>0.2</v>
      </c>
      <c r="G17" s="412">
        <v>0.7</v>
      </c>
      <c r="H17" s="448" t="s">
        <v>319</v>
      </c>
      <c r="I17" s="447">
        <f>((D17*2)+(E17*2))*F17*G17</f>
        <v>4.5919999999999996</v>
      </c>
      <c r="J17" s="449">
        <v>250</v>
      </c>
      <c r="K17" s="450">
        <f>I17*J17</f>
        <v>1148</v>
      </c>
    </row>
    <row r="18" spans="1:11">
      <c r="A18" s="195"/>
      <c r="B18" s="21"/>
      <c r="C18" s="20"/>
      <c r="D18" s="20"/>
      <c r="E18" s="20"/>
      <c r="F18" s="20"/>
      <c r="G18" s="20"/>
      <c r="H18" s="76"/>
      <c r="I18" s="20"/>
      <c r="J18" s="20"/>
      <c r="K18" s="5"/>
    </row>
    <row r="19" spans="1:11" ht="38.25">
      <c r="A19" s="196">
        <v>1.22</v>
      </c>
      <c r="B19" s="21" t="s">
        <v>363</v>
      </c>
      <c r="C19" s="20" t="s">
        <v>34</v>
      </c>
      <c r="D19" s="20"/>
      <c r="E19" s="20"/>
      <c r="F19" s="20"/>
      <c r="G19" s="20"/>
      <c r="H19" s="334" t="s">
        <v>120</v>
      </c>
      <c r="I19" s="20">
        <f>(I11*0.25)+(0.3*I17)</f>
        <v>19.057600000000004</v>
      </c>
      <c r="J19" s="14">
        <v>350</v>
      </c>
      <c r="K19" s="5">
        <f>I19*J19</f>
        <v>6670.1600000000017</v>
      </c>
    </row>
    <row r="20" spans="1:11">
      <c r="A20" s="195"/>
      <c r="B20" s="21"/>
      <c r="C20" s="20"/>
      <c r="D20" s="20"/>
      <c r="E20" s="20"/>
      <c r="F20" s="20"/>
      <c r="G20" s="20"/>
      <c r="H20" s="76"/>
      <c r="I20" s="20"/>
      <c r="J20" s="20"/>
      <c r="K20" s="5"/>
    </row>
    <row r="21" spans="1:11" ht="38.25" customHeight="1">
      <c r="A21" s="451">
        <v>1.23</v>
      </c>
      <c r="B21" s="452" t="s">
        <v>467</v>
      </c>
      <c r="C21" s="453" t="s">
        <v>34</v>
      </c>
      <c r="D21" s="453"/>
      <c r="E21" s="453"/>
      <c r="F21" s="453"/>
      <c r="G21" s="453"/>
      <c r="H21" s="408" t="s">
        <v>204</v>
      </c>
      <c r="I21" s="447">
        <f>60%*(SUM($I17))</f>
        <v>2.7551999999999999</v>
      </c>
      <c r="J21" s="449">
        <v>600</v>
      </c>
      <c r="K21" s="450">
        <f>I21*J21</f>
        <v>1653.12</v>
      </c>
    </row>
    <row r="22" spans="1:11">
      <c r="A22" s="197"/>
      <c r="B22" s="170"/>
      <c r="C22" s="78"/>
      <c r="D22" s="78"/>
      <c r="E22" s="78"/>
      <c r="F22" s="78"/>
      <c r="G22" s="78"/>
      <c r="H22" s="264"/>
      <c r="I22" s="130"/>
      <c r="J22" s="20"/>
      <c r="K22" s="5"/>
    </row>
    <row r="23" spans="1:11" ht="15.75">
      <c r="A23" s="451">
        <v>1.24</v>
      </c>
      <c r="B23" s="452" t="s">
        <v>35</v>
      </c>
      <c r="C23" s="453" t="s">
        <v>34</v>
      </c>
      <c r="D23" s="453"/>
      <c r="E23" s="453"/>
      <c r="F23" s="453"/>
      <c r="G23" s="453"/>
      <c r="H23" s="408" t="s">
        <v>153</v>
      </c>
      <c r="I23" s="407">
        <f>30%*(SUM($I17))</f>
        <v>1.3775999999999999</v>
      </c>
      <c r="J23" s="449">
        <v>960</v>
      </c>
      <c r="K23" s="450">
        <f>I23*J23</f>
        <v>1322.4959999999999</v>
      </c>
    </row>
    <row r="24" spans="1:11">
      <c r="A24" s="197"/>
      <c r="B24" s="170"/>
      <c r="C24" s="78"/>
      <c r="D24" s="78"/>
      <c r="E24" s="78"/>
      <c r="F24" s="78"/>
      <c r="G24" s="78"/>
      <c r="H24" s="264"/>
      <c r="I24" s="130"/>
      <c r="J24" s="20"/>
      <c r="K24" s="5"/>
    </row>
    <row r="25" spans="1:11" ht="15.75">
      <c r="A25" s="451">
        <v>1.25</v>
      </c>
      <c r="B25" s="452" t="s">
        <v>36</v>
      </c>
      <c r="C25" s="453" t="s">
        <v>34</v>
      </c>
      <c r="D25" s="453"/>
      <c r="E25" s="453"/>
      <c r="F25" s="453"/>
      <c r="G25" s="453"/>
      <c r="H25" s="408" t="s">
        <v>215</v>
      </c>
      <c r="I25" s="407">
        <f>10%*(SUM($I17))</f>
        <v>0.4592</v>
      </c>
      <c r="J25" s="449">
        <v>1800</v>
      </c>
      <c r="K25" s="450">
        <f>I25*J25</f>
        <v>826.56</v>
      </c>
    </row>
    <row r="26" spans="1:11">
      <c r="A26" s="194"/>
      <c r="B26" s="21"/>
      <c r="C26" s="20"/>
      <c r="D26" s="20"/>
      <c r="E26" s="20"/>
      <c r="F26" s="20"/>
      <c r="G26" s="20"/>
      <c r="H26" s="76"/>
      <c r="I26" s="20"/>
      <c r="J26" s="20"/>
      <c r="K26" s="5"/>
    </row>
    <row r="27" spans="1:11">
      <c r="A27" s="190">
        <v>1.3</v>
      </c>
      <c r="B27" s="167" t="s">
        <v>180</v>
      </c>
      <c r="C27" s="20"/>
      <c r="D27" s="78"/>
      <c r="E27" s="78"/>
      <c r="F27" s="78"/>
      <c r="G27" s="78"/>
      <c r="H27" s="76"/>
      <c r="I27" s="20"/>
      <c r="J27" s="20"/>
      <c r="K27" s="5"/>
    </row>
    <row r="28" spans="1:11">
      <c r="A28" s="194"/>
      <c r="B28" s="21"/>
      <c r="C28" s="20"/>
      <c r="D28" s="20"/>
      <c r="E28" s="20"/>
      <c r="F28" s="20"/>
      <c r="G28" s="20"/>
      <c r="H28" s="76"/>
      <c r="I28" s="20"/>
      <c r="J28" s="20"/>
      <c r="K28" s="5"/>
    </row>
    <row r="29" spans="1:11" ht="25.5">
      <c r="A29" s="194">
        <v>1.31</v>
      </c>
      <c r="B29" s="21" t="s">
        <v>262</v>
      </c>
      <c r="C29" s="20" t="s">
        <v>34</v>
      </c>
      <c r="D29" s="245">
        <f>D17</f>
        <v>10.4</v>
      </c>
      <c r="E29" s="245">
        <f>E17</f>
        <v>6</v>
      </c>
      <c r="F29" s="245">
        <v>0.25</v>
      </c>
      <c r="G29" s="20"/>
      <c r="H29" s="76"/>
      <c r="I29" s="20">
        <f>D29*E29*F29</f>
        <v>15.600000000000001</v>
      </c>
      <c r="J29" s="14">
        <v>980</v>
      </c>
      <c r="K29" s="5">
        <f>I29*J29</f>
        <v>15288.000000000002</v>
      </c>
    </row>
    <row r="30" spans="1:11">
      <c r="A30" s="122"/>
      <c r="B30" s="165"/>
      <c r="C30" s="112"/>
      <c r="D30" s="125"/>
      <c r="E30" s="125"/>
      <c r="F30" s="125"/>
      <c r="G30" s="125"/>
      <c r="H30" s="336"/>
      <c r="I30" s="124"/>
      <c r="J30" s="117"/>
      <c r="K30" s="118"/>
    </row>
    <row r="31" spans="1:11" s="154" customFormat="1" ht="15">
      <c r="A31" s="487" t="s">
        <v>111</v>
      </c>
      <c r="B31" s="488"/>
      <c r="C31" s="488"/>
      <c r="D31" s="488"/>
      <c r="E31" s="488"/>
      <c r="F31" s="488"/>
      <c r="G31" s="488"/>
      <c r="H31" s="488"/>
      <c r="I31" s="488"/>
      <c r="J31" s="489"/>
      <c r="K31" s="240">
        <f>SUM(K5:K30)</f>
        <v>33980.336000000003</v>
      </c>
    </row>
    <row r="32" spans="1:11" s="11" customFormat="1">
      <c r="A32" s="119"/>
      <c r="B32" s="120"/>
      <c r="C32" s="112"/>
      <c r="D32" s="113"/>
      <c r="E32" s="113"/>
      <c r="F32" s="113"/>
      <c r="G32" s="113"/>
      <c r="H32" s="166"/>
      <c r="I32" s="112"/>
      <c r="J32" s="117"/>
      <c r="K32" s="118"/>
    </row>
    <row r="33" spans="1:11">
      <c r="A33" s="190">
        <v>2</v>
      </c>
      <c r="B33" s="2" t="s">
        <v>116</v>
      </c>
      <c r="C33" s="19"/>
      <c r="D33" s="19"/>
      <c r="E33" s="19"/>
      <c r="F33" s="19"/>
      <c r="G33" s="19"/>
      <c r="H33" s="76"/>
      <c r="I33" s="19"/>
      <c r="J33" s="14"/>
      <c r="K33" s="5"/>
    </row>
    <row r="34" spans="1:11">
      <c r="A34" s="192"/>
      <c r="B34" s="169"/>
      <c r="C34" s="19"/>
      <c r="D34" s="19"/>
      <c r="E34" s="19"/>
      <c r="F34" s="19"/>
      <c r="G34" s="19"/>
      <c r="H34" s="76"/>
      <c r="I34" s="19"/>
      <c r="J34" s="14"/>
      <c r="K34" s="5"/>
    </row>
    <row r="35" spans="1:11">
      <c r="A35" s="119">
        <v>2.1</v>
      </c>
      <c r="B35" s="136" t="s">
        <v>282</v>
      </c>
      <c r="C35" s="19"/>
      <c r="D35" s="7"/>
      <c r="E35" s="5"/>
      <c r="F35" s="5"/>
      <c r="G35" s="19"/>
      <c r="H35" s="76"/>
      <c r="I35" s="19"/>
      <c r="J35" s="14"/>
      <c r="K35" s="5"/>
    </row>
    <row r="36" spans="1:11">
      <c r="A36" s="192"/>
      <c r="B36" s="170"/>
      <c r="C36" s="19"/>
      <c r="D36" s="5"/>
      <c r="E36" s="5"/>
      <c r="F36" s="5"/>
      <c r="G36" s="20"/>
      <c r="H36" s="76"/>
      <c r="I36" s="19"/>
      <c r="J36" s="14"/>
      <c r="K36" s="5"/>
    </row>
    <row r="37" spans="1:11" ht="15.75">
      <c r="A37" s="25">
        <v>2.11</v>
      </c>
      <c r="B37" s="285" t="s">
        <v>439</v>
      </c>
      <c r="C37" s="19" t="s">
        <v>37</v>
      </c>
      <c r="D37" s="5"/>
      <c r="E37" s="5"/>
      <c r="F37" s="5"/>
      <c r="G37" s="20"/>
      <c r="H37" s="76"/>
      <c r="I37" s="261">
        <f>I29</f>
        <v>15.600000000000001</v>
      </c>
      <c r="J37" s="14">
        <v>150</v>
      </c>
      <c r="K37" s="5">
        <f>I37*J37</f>
        <v>2340</v>
      </c>
    </row>
    <row r="38" spans="1:11">
      <c r="A38" s="192"/>
      <c r="B38" s="173"/>
      <c r="C38" s="19"/>
      <c r="D38" s="5"/>
      <c r="E38" s="5"/>
      <c r="F38" s="5"/>
      <c r="G38" s="20"/>
      <c r="H38" s="76"/>
      <c r="I38" s="19"/>
      <c r="J38" s="14"/>
      <c r="K38" s="5"/>
    </row>
    <row r="39" spans="1:11">
      <c r="A39" s="190">
        <v>2.2000000000000002</v>
      </c>
      <c r="B39" s="2" t="s">
        <v>48</v>
      </c>
      <c r="C39" s="19"/>
      <c r="D39" s="19"/>
      <c r="E39" s="19"/>
      <c r="F39" s="19"/>
      <c r="G39" s="19"/>
      <c r="H39" s="76"/>
      <c r="I39" s="19"/>
      <c r="J39" s="14"/>
      <c r="K39" s="5"/>
    </row>
    <row r="40" spans="1:11" ht="15">
      <c r="A40" s="190"/>
      <c r="B40" s="23"/>
      <c r="C40" s="19"/>
      <c r="D40" s="19"/>
      <c r="E40" s="19"/>
      <c r="F40" s="19"/>
      <c r="G40" s="19"/>
      <c r="H40" s="76"/>
      <c r="I40" s="19"/>
      <c r="J40" s="14"/>
      <c r="K40" s="5"/>
    </row>
    <row r="41" spans="1:11" s="11" customFormat="1" ht="25.5">
      <c r="A41" s="122">
        <v>2.21</v>
      </c>
      <c r="B41" s="129" t="s">
        <v>198</v>
      </c>
      <c r="C41" s="19" t="s">
        <v>12</v>
      </c>
      <c r="D41" s="19">
        <f>D4</f>
        <v>10</v>
      </c>
      <c r="E41" s="19">
        <f>F4</f>
        <v>6</v>
      </c>
      <c r="F41" s="19">
        <v>0.2</v>
      </c>
      <c r="G41" s="11">
        <v>0.6</v>
      </c>
      <c r="H41" s="76" t="s">
        <v>263</v>
      </c>
      <c r="I41" s="19">
        <f>2*((D41*F41*G41)+(E41*F41*G41))</f>
        <v>3.84</v>
      </c>
      <c r="J41" s="14">
        <v>13970</v>
      </c>
      <c r="K41" s="5">
        <f>I41*J41</f>
        <v>53644.799999999996</v>
      </c>
    </row>
    <row r="42" spans="1:11">
      <c r="A42" s="194"/>
      <c r="B42" s="281"/>
      <c r="C42" s="19"/>
      <c r="D42" s="19"/>
      <c r="F42" s="19"/>
      <c r="G42" s="19"/>
      <c r="H42" s="76"/>
      <c r="I42" s="19"/>
      <c r="J42" s="14"/>
      <c r="K42" s="5"/>
    </row>
    <row r="43" spans="1:11" ht="42" customHeight="1">
      <c r="A43" s="194">
        <v>2.2200000000000002</v>
      </c>
      <c r="B43" s="21" t="s">
        <v>449</v>
      </c>
      <c r="C43" s="19" t="s">
        <v>13</v>
      </c>
      <c r="D43" s="19">
        <f>D4</f>
        <v>10</v>
      </c>
      <c r="E43" s="19">
        <f>E4</f>
        <v>6.4</v>
      </c>
      <c r="F43" s="19"/>
      <c r="G43" s="19"/>
      <c r="H43" s="76" t="s">
        <v>265</v>
      </c>
      <c r="I43" s="19">
        <f>(I41/F41)+(D43*E43)+(D44*E44)</f>
        <v>85.9</v>
      </c>
      <c r="J43" s="14">
        <v>495</v>
      </c>
      <c r="K43" s="5">
        <f>I43*J43</f>
        <v>42520.5</v>
      </c>
    </row>
    <row r="44" spans="1:11">
      <c r="A44" s="194"/>
      <c r="B44" s="21"/>
      <c r="C44" s="19"/>
      <c r="D44" s="19">
        <v>1.8</v>
      </c>
      <c r="E44" s="19">
        <v>1.5</v>
      </c>
      <c r="F44" s="19"/>
      <c r="G44" s="19"/>
      <c r="H44" s="76"/>
      <c r="I44" s="19"/>
      <c r="J44" s="14"/>
      <c r="K44" s="5"/>
    </row>
    <row r="45" spans="1:11" ht="38.25" customHeight="1">
      <c r="A45" s="194">
        <v>2.23</v>
      </c>
      <c r="B45" s="21" t="s">
        <v>452</v>
      </c>
      <c r="C45" s="19" t="s">
        <v>12</v>
      </c>
      <c r="D45" s="19">
        <f>D43</f>
        <v>10</v>
      </c>
      <c r="E45" s="19">
        <f>E43</f>
        <v>6.4</v>
      </c>
      <c r="F45" s="19">
        <v>0.15</v>
      </c>
      <c r="G45" s="8"/>
      <c r="H45" s="76" t="s">
        <v>264</v>
      </c>
      <c r="I45" s="19">
        <f>((D45*E45)+(D48*E48))*F45</f>
        <v>10.005000000000001</v>
      </c>
      <c r="J45" s="14">
        <v>13970</v>
      </c>
      <c r="K45" s="5">
        <f>I45*J45</f>
        <v>139769.85</v>
      </c>
    </row>
    <row r="46" spans="1:11" ht="17.25" customHeight="1">
      <c r="A46" s="276"/>
      <c r="B46" s="360"/>
      <c r="C46" s="19"/>
      <c r="D46" s="19"/>
      <c r="E46" s="19"/>
      <c r="F46" s="19"/>
      <c r="G46" s="8"/>
      <c r="H46" s="76"/>
      <c r="I46" s="19"/>
      <c r="J46" s="14"/>
      <c r="K46" s="5"/>
    </row>
    <row r="47" spans="1:11" ht="38.25">
      <c r="A47" s="194">
        <v>2.2400000000000002</v>
      </c>
      <c r="B47" s="21" t="s">
        <v>453</v>
      </c>
      <c r="C47" s="19" t="s">
        <v>12</v>
      </c>
      <c r="D47" s="19">
        <v>0.5</v>
      </c>
      <c r="E47" s="19">
        <f>E4</f>
        <v>6.4</v>
      </c>
      <c r="F47" s="19">
        <v>0.2</v>
      </c>
      <c r="G47" s="8"/>
      <c r="H47" s="76"/>
      <c r="I47" s="19">
        <f>(D47*E47*F47)/2</f>
        <v>0.32000000000000006</v>
      </c>
      <c r="J47" s="14">
        <v>13970</v>
      </c>
      <c r="K47" s="5">
        <f>I47*J47</f>
        <v>4470.4000000000005</v>
      </c>
    </row>
    <row r="48" spans="1:11" s="11" customFormat="1">
      <c r="A48" s="276"/>
      <c r="B48" s="277"/>
      <c r="C48" s="19"/>
      <c r="D48" s="19">
        <f>D44</f>
        <v>1.8</v>
      </c>
      <c r="E48" s="19">
        <f>E44</f>
        <v>1.5</v>
      </c>
      <c r="F48" s="19"/>
      <c r="G48" s="19"/>
      <c r="H48" s="76"/>
      <c r="I48" s="19"/>
      <c r="J48" s="14"/>
      <c r="K48" s="5"/>
    </row>
    <row r="49" spans="1:11" ht="25.5">
      <c r="A49" s="194">
        <v>2.25</v>
      </c>
      <c r="B49" s="170" t="s">
        <v>199</v>
      </c>
      <c r="C49" s="19" t="s">
        <v>12</v>
      </c>
      <c r="D49" s="19">
        <v>0.2</v>
      </c>
      <c r="E49" s="19">
        <v>0.2</v>
      </c>
      <c r="F49" s="19">
        <v>1.5</v>
      </c>
      <c r="G49" s="19"/>
      <c r="H49" s="76" t="s">
        <v>266</v>
      </c>
      <c r="I49" s="19">
        <f>8*(D49*E49*F49)</f>
        <v>0.48000000000000009</v>
      </c>
      <c r="J49" s="14">
        <v>13970</v>
      </c>
      <c r="K49" s="5">
        <f>I49*J49</f>
        <v>6705.6000000000013</v>
      </c>
    </row>
    <row r="50" spans="1:11">
      <c r="A50" s="194"/>
      <c r="B50" s="170"/>
      <c r="C50" s="19"/>
      <c r="D50" s="19"/>
      <c r="E50" s="19"/>
      <c r="F50" s="19"/>
      <c r="G50" s="19"/>
      <c r="H50" s="76"/>
      <c r="I50" s="19"/>
      <c r="J50" s="14"/>
      <c r="K50" s="5"/>
    </row>
    <row r="51" spans="1:11">
      <c r="A51" s="192">
        <v>2.2999999999999998</v>
      </c>
      <c r="B51" s="171" t="s">
        <v>82</v>
      </c>
      <c r="C51" s="19"/>
      <c r="D51" s="19"/>
      <c r="E51" s="19"/>
      <c r="F51" s="19"/>
      <c r="G51" s="19"/>
      <c r="H51" s="76"/>
      <c r="I51" s="19"/>
      <c r="J51" s="14"/>
      <c r="K51" s="5"/>
    </row>
    <row r="52" spans="1:11">
      <c r="A52" s="192"/>
      <c r="B52" s="171"/>
      <c r="C52" s="19"/>
      <c r="D52" s="19"/>
      <c r="E52" s="19"/>
      <c r="F52" s="19"/>
      <c r="G52" s="19"/>
      <c r="H52" s="76"/>
      <c r="I52" s="19"/>
      <c r="J52" s="14"/>
      <c r="K52" s="5"/>
    </row>
    <row r="53" spans="1:11" ht="53.25" customHeight="1">
      <c r="A53" s="194">
        <v>2.31</v>
      </c>
      <c r="B53" s="170" t="s">
        <v>463</v>
      </c>
      <c r="C53" s="19" t="s">
        <v>37</v>
      </c>
      <c r="D53" s="19"/>
      <c r="E53" s="19"/>
      <c r="F53" s="19"/>
      <c r="G53" s="19"/>
      <c r="H53" s="76" t="s">
        <v>148</v>
      </c>
      <c r="I53" s="19">
        <f>I45/F45</f>
        <v>66.7</v>
      </c>
      <c r="J53" s="14">
        <v>450</v>
      </c>
      <c r="K53" s="5">
        <f>I53*J53</f>
        <v>30015</v>
      </c>
    </row>
    <row r="54" spans="1:11">
      <c r="A54" s="194"/>
      <c r="B54" s="170"/>
      <c r="C54" s="19"/>
      <c r="D54" s="19"/>
      <c r="E54" s="19"/>
      <c r="F54" s="19"/>
      <c r="G54" s="19"/>
      <c r="H54" s="76"/>
      <c r="I54" s="19"/>
      <c r="J54" s="14"/>
      <c r="K54" s="5"/>
    </row>
    <row r="55" spans="1:11" ht="12.75" customHeight="1">
      <c r="A55" s="194">
        <v>2.3199999999999998</v>
      </c>
      <c r="B55" s="170" t="s">
        <v>45</v>
      </c>
      <c r="C55" s="19" t="s">
        <v>38</v>
      </c>
      <c r="D55" s="19"/>
      <c r="E55" s="19"/>
      <c r="F55" s="19"/>
      <c r="G55" s="19"/>
      <c r="H55" s="76"/>
      <c r="I55" s="363">
        <v>235</v>
      </c>
      <c r="J55" s="14">
        <v>150</v>
      </c>
      <c r="K55" s="5">
        <f>I55*J55</f>
        <v>35250</v>
      </c>
    </row>
    <row r="56" spans="1:11">
      <c r="A56" s="194"/>
      <c r="B56" s="170"/>
      <c r="C56" s="19"/>
      <c r="D56" s="19"/>
      <c r="E56" s="19"/>
      <c r="F56" s="19"/>
      <c r="G56" s="19"/>
      <c r="H56" s="76"/>
      <c r="I56" s="19"/>
      <c r="J56" s="14"/>
      <c r="K56" s="5"/>
    </row>
    <row r="57" spans="1:11">
      <c r="A57" s="192">
        <v>2.4</v>
      </c>
      <c r="B57" s="171" t="s">
        <v>39</v>
      </c>
      <c r="C57" s="19"/>
      <c r="D57" s="19"/>
      <c r="E57" s="19"/>
      <c r="F57" s="19"/>
      <c r="G57" s="19"/>
      <c r="H57" s="76"/>
      <c r="I57" s="19"/>
      <c r="J57" s="14"/>
      <c r="K57" s="5"/>
    </row>
    <row r="58" spans="1:11">
      <c r="A58" s="194"/>
      <c r="B58" s="172"/>
      <c r="C58" s="19"/>
      <c r="D58" s="19"/>
      <c r="E58" s="19"/>
      <c r="F58" s="19"/>
      <c r="G58" s="19"/>
      <c r="H58" s="76"/>
      <c r="I58" s="19"/>
      <c r="J58" s="14"/>
      <c r="K58" s="5"/>
    </row>
    <row r="59" spans="1:11" ht="25.5">
      <c r="A59" s="194"/>
      <c r="B59" s="170" t="s">
        <v>354</v>
      </c>
      <c r="C59" s="19"/>
      <c r="D59" s="19"/>
      <c r="E59" s="19"/>
      <c r="F59" s="19"/>
      <c r="G59" s="19"/>
      <c r="H59" s="76"/>
      <c r="I59" s="19"/>
      <c r="J59" s="14"/>
      <c r="K59" s="5"/>
    </row>
    <row r="60" spans="1:11">
      <c r="A60" s="194"/>
      <c r="B60" s="170"/>
      <c r="C60" s="19"/>
      <c r="D60" s="19"/>
      <c r="E60" s="19"/>
      <c r="F60" s="19"/>
      <c r="G60" s="19"/>
      <c r="H60" s="76"/>
      <c r="I60" s="19"/>
      <c r="J60" s="14"/>
      <c r="K60" s="5"/>
    </row>
    <row r="61" spans="1:11">
      <c r="A61" s="194">
        <v>2.41</v>
      </c>
      <c r="B61" s="170" t="s">
        <v>55</v>
      </c>
      <c r="C61" s="19" t="s">
        <v>3</v>
      </c>
      <c r="D61" s="19"/>
      <c r="E61" s="19"/>
      <c r="F61" s="19">
        <f>F49</f>
        <v>1.5</v>
      </c>
      <c r="G61" s="19"/>
      <c r="H61" s="76"/>
      <c r="I61" s="19">
        <f>8*(4*F61)</f>
        <v>48</v>
      </c>
      <c r="J61" s="14">
        <v>250</v>
      </c>
      <c r="K61" s="5">
        <f>I61*J61</f>
        <v>12000</v>
      </c>
    </row>
    <row r="62" spans="1:11">
      <c r="A62" s="276"/>
      <c r="B62" s="176"/>
      <c r="C62" s="19"/>
      <c r="D62" s="19"/>
      <c r="E62" s="19"/>
      <c r="F62" s="19"/>
      <c r="G62" s="19"/>
      <c r="H62" s="76"/>
      <c r="I62" s="19"/>
      <c r="J62" s="14"/>
      <c r="K62" s="5"/>
    </row>
    <row r="63" spans="1:11">
      <c r="A63" s="194">
        <v>2.42</v>
      </c>
      <c r="B63" s="170" t="s">
        <v>121</v>
      </c>
      <c r="C63" s="19" t="s">
        <v>3</v>
      </c>
      <c r="D63" s="19">
        <f>D45</f>
        <v>10</v>
      </c>
      <c r="E63" s="19">
        <f>E45</f>
        <v>6.4</v>
      </c>
      <c r="F63" s="19"/>
      <c r="G63" s="19"/>
      <c r="H63" s="76"/>
      <c r="I63" s="19">
        <f>(D63*2)+(E63*2)</f>
        <v>32.799999999999997</v>
      </c>
      <c r="J63" s="14">
        <v>250</v>
      </c>
      <c r="K63" s="5">
        <f>I63*J63</f>
        <v>8200</v>
      </c>
    </row>
    <row r="64" spans="1:11">
      <c r="A64" s="276"/>
      <c r="B64" s="176"/>
      <c r="C64" s="19"/>
      <c r="D64" s="19"/>
      <c r="E64" s="19"/>
      <c r="F64" s="19"/>
      <c r="G64" s="19"/>
      <c r="H64" s="76"/>
      <c r="I64" s="19"/>
      <c r="J64" s="14"/>
      <c r="K64" s="5"/>
    </row>
    <row r="65" spans="1:11" s="11" customFormat="1">
      <c r="A65" s="119">
        <v>2.5</v>
      </c>
      <c r="B65" s="136" t="s">
        <v>118</v>
      </c>
      <c r="C65" s="19"/>
      <c r="D65" s="19"/>
      <c r="E65" s="19"/>
      <c r="F65" s="19"/>
      <c r="G65" s="19"/>
      <c r="H65" s="76"/>
      <c r="I65" s="19"/>
      <c r="J65" s="14"/>
      <c r="K65" s="5"/>
    </row>
    <row r="66" spans="1:11" s="11" customFormat="1">
      <c r="A66" s="119"/>
      <c r="B66" s="136"/>
      <c r="C66" s="19"/>
      <c r="D66" s="19"/>
      <c r="E66" s="19"/>
      <c r="F66" s="19"/>
      <c r="G66" s="19"/>
      <c r="H66" s="76"/>
      <c r="I66" s="19"/>
      <c r="J66" s="14"/>
      <c r="K66" s="5"/>
    </row>
    <row r="67" spans="1:11" s="11" customFormat="1" ht="38.25">
      <c r="A67" s="122">
        <v>2.5099999999999998</v>
      </c>
      <c r="B67" s="249" t="s">
        <v>277</v>
      </c>
      <c r="C67" s="19" t="s">
        <v>37</v>
      </c>
      <c r="D67" s="19">
        <f>D45</f>
        <v>10</v>
      </c>
      <c r="E67" s="19">
        <f>F4</f>
        <v>6</v>
      </c>
      <c r="F67" s="19"/>
      <c r="G67" s="19"/>
      <c r="H67" s="76"/>
      <c r="I67" s="19">
        <f>D67*E67</f>
        <v>60</v>
      </c>
      <c r="J67" s="14">
        <v>320</v>
      </c>
      <c r="K67" s="5">
        <f>I67*J67</f>
        <v>19200</v>
      </c>
    </row>
    <row r="68" spans="1:11" s="11" customFormat="1">
      <c r="A68" s="122"/>
      <c r="B68" s="249"/>
      <c r="C68" s="19"/>
      <c r="D68" s="19"/>
      <c r="E68" s="19"/>
      <c r="F68" s="19"/>
      <c r="G68" s="19"/>
      <c r="H68" s="76"/>
      <c r="I68" s="19"/>
      <c r="J68" s="14"/>
      <c r="K68" s="5"/>
    </row>
    <row r="69" spans="1:11" s="154" customFormat="1" ht="15">
      <c r="A69" s="509" t="s">
        <v>102</v>
      </c>
      <c r="B69" s="510"/>
      <c r="C69" s="510"/>
      <c r="D69" s="510"/>
      <c r="E69" s="510"/>
      <c r="F69" s="510"/>
      <c r="G69" s="510"/>
      <c r="H69" s="510"/>
      <c r="I69" s="510"/>
      <c r="J69" s="511"/>
      <c r="K69" s="240">
        <f>SUM(K32:K68)</f>
        <v>354116.15</v>
      </c>
    </row>
    <row r="70" spans="1:11" s="11" customFormat="1">
      <c r="A70" s="119"/>
      <c r="B70" s="120"/>
      <c r="C70" s="112"/>
      <c r="D70" s="113"/>
      <c r="E70" s="113"/>
      <c r="F70" s="113"/>
      <c r="G70" s="113"/>
      <c r="H70" s="166"/>
      <c r="I70" s="112"/>
      <c r="J70" s="117"/>
      <c r="K70" s="118"/>
    </row>
    <row r="71" spans="1:11">
      <c r="A71" s="192">
        <v>3</v>
      </c>
      <c r="B71" s="243" t="s">
        <v>42</v>
      </c>
      <c r="C71" s="79"/>
      <c r="D71" s="20"/>
      <c r="E71" s="20"/>
      <c r="F71" s="20"/>
      <c r="G71" s="20"/>
      <c r="H71" s="76"/>
      <c r="I71" s="20"/>
      <c r="J71" s="20"/>
      <c r="K71" s="5"/>
    </row>
    <row r="72" spans="1:11">
      <c r="A72" s="192"/>
      <c r="B72" s="170"/>
      <c r="C72" s="19"/>
      <c r="D72" s="19"/>
      <c r="E72" s="19"/>
      <c r="F72" s="19"/>
      <c r="G72" s="19"/>
      <c r="H72" s="76"/>
      <c r="I72" s="19"/>
      <c r="J72" s="14"/>
      <c r="K72" s="5"/>
    </row>
    <row r="73" spans="1:11">
      <c r="A73" s="119">
        <v>3.1</v>
      </c>
      <c r="B73" s="136" t="s">
        <v>188</v>
      </c>
      <c r="C73" s="19"/>
      <c r="D73" s="19"/>
      <c r="E73" s="19"/>
      <c r="F73" s="19"/>
      <c r="G73" s="19"/>
      <c r="H73" s="76"/>
      <c r="I73" s="19"/>
      <c r="J73" s="14"/>
      <c r="K73" s="5"/>
    </row>
    <row r="74" spans="1:11">
      <c r="A74" s="192"/>
      <c r="B74" s="170"/>
      <c r="C74" s="19"/>
      <c r="D74" s="19"/>
      <c r="E74" s="19"/>
      <c r="F74" s="19"/>
      <c r="G74" s="19"/>
      <c r="H74" s="76"/>
      <c r="I74" s="19"/>
      <c r="J74" s="14"/>
      <c r="K74" s="5"/>
    </row>
    <row r="75" spans="1:11" ht="38.25">
      <c r="A75" s="192"/>
      <c r="B75" s="170" t="s">
        <v>259</v>
      </c>
      <c r="C75" s="19"/>
      <c r="D75" s="19"/>
      <c r="E75" s="19"/>
      <c r="F75" s="19"/>
      <c r="G75" s="19"/>
      <c r="H75" s="76"/>
      <c r="I75" s="19"/>
      <c r="J75" s="14"/>
      <c r="K75" s="5"/>
    </row>
    <row r="76" spans="1:11">
      <c r="A76" s="192"/>
      <c r="B76" s="170"/>
      <c r="C76" s="19"/>
      <c r="D76" s="19"/>
      <c r="E76" s="19"/>
      <c r="F76" s="19"/>
      <c r="G76" s="19"/>
      <c r="H76" s="76"/>
      <c r="I76" s="19"/>
      <c r="J76" s="14"/>
      <c r="K76" s="5"/>
    </row>
    <row r="77" spans="1:11" ht="15.75">
      <c r="A77" s="194">
        <v>3.11</v>
      </c>
      <c r="B77" s="170" t="s">
        <v>41</v>
      </c>
      <c r="C77" s="19" t="s">
        <v>37</v>
      </c>
      <c r="D77" s="338">
        <f>D4</f>
        <v>10</v>
      </c>
      <c r="E77" s="339">
        <v>0.5</v>
      </c>
      <c r="F77" s="5"/>
      <c r="G77" s="19"/>
      <c r="H77" s="334" t="s">
        <v>267</v>
      </c>
      <c r="I77" s="20">
        <f>((D77*2)+D78)*E77</f>
        <v>13</v>
      </c>
      <c r="J77" s="14">
        <v>2200</v>
      </c>
      <c r="K77" s="5">
        <f>I77*J77</f>
        <v>28600</v>
      </c>
    </row>
    <row r="78" spans="1:11">
      <c r="A78" s="194"/>
      <c r="B78" s="170"/>
      <c r="C78" s="19"/>
      <c r="D78" s="26">
        <v>6</v>
      </c>
      <c r="E78" s="5"/>
      <c r="F78" s="5"/>
      <c r="G78" s="19"/>
      <c r="H78" s="334"/>
      <c r="I78" s="20"/>
      <c r="J78" s="20"/>
      <c r="K78" s="5"/>
    </row>
    <row r="79" spans="1:11" ht="15.75">
      <c r="A79" s="194">
        <v>3.12</v>
      </c>
      <c r="B79" s="170" t="s">
        <v>122</v>
      </c>
      <c r="C79" s="19" t="s">
        <v>37</v>
      </c>
      <c r="D79" s="113">
        <f>D4</f>
        <v>10</v>
      </c>
      <c r="E79" s="113">
        <v>0.35</v>
      </c>
      <c r="G79" s="113"/>
      <c r="H79" s="334"/>
      <c r="I79" s="20">
        <f>2*((D79+D80)*E79)</f>
        <v>11.2</v>
      </c>
      <c r="J79" s="14">
        <v>2200</v>
      </c>
      <c r="K79" s="5">
        <f>I79*J79</f>
        <v>24640</v>
      </c>
    </row>
    <row r="80" spans="1:11">
      <c r="A80" s="284"/>
      <c r="B80" s="281"/>
      <c r="C80" s="19"/>
      <c r="D80" s="27">
        <v>6</v>
      </c>
      <c r="E80" s="5"/>
      <c r="F80" s="5"/>
      <c r="G80" s="20"/>
      <c r="H80" s="76"/>
      <c r="I80" s="19"/>
      <c r="J80" s="14"/>
      <c r="K80" s="5"/>
    </row>
    <row r="81" spans="1:11">
      <c r="A81" s="119">
        <v>3.2</v>
      </c>
      <c r="B81" s="136" t="s">
        <v>177</v>
      </c>
      <c r="C81" s="19"/>
      <c r="D81" s="280"/>
      <c r="E81" s="280"/>
      <c r="F81" s="280"/>
      <c r="G81" s="290"/>
      <c r="H81" s="76"/>
      <c r="I81" s="19"/>
      <c r="J81" s="14"/>
      <c r="K81" s="5"/>
    </row>
    <row r="82" spans="1:11">
      <c r="A82" s="192"/>
      <c r="B82" s="175"/>
      <c r="C82" s="19"/>
      <c r="D82" s="280"/>
      <c r="E82" s="280"/>
      <c r="F82" s="280"/>
      <c r="G82" s="290"/>
      <c r="H82" s="76"/>
      <c r="I82" s="19"/>
      <c r="J82" s="14"/>
      <c r="K82" s="5"/>
    </row>
    <row r="83" spans="1:11" ht="25.5">
      <c r="A83" s="194">
        <v>3.21</v>
      </c>
      <c r="B83" s="286" t="s">
        <v>403</v>
      </c>
      <c r="C83" s="19" t="s">
        <v>37</v>
      </c>
      <c r="D83" s="125"/>
      <c r="E83" s="125"/>
      <c r="F83" s="125"/>
      <c r="G83" s="125"/>
      <c r="H83" s="334" t="s">
        <v>123</v>
      </c>
      <c r="I83" s="19">
        <f>I77*2</f>
        <v>26</v>
      </c>
      <c r="J83" s="14">
        <v>320</v>
      </c>
      <c r="K83" s="5">
        <f>I83*J83</f>
        <v>8320</v>
      </c>
    </row>
    <row r="84" spans="1:11">
      <c r="A84" s="122"/>
      <c r="B84" s="165"/>
      <c r="C84" s="112"/>
      <c r="D84" s="26"/>
      <c r="E84" s="5"/>
      <c r="F84" s="5"/>
      <c r="G84" s="19"/>
      <c r="H84" s="336"/>
      <c r="I84" s="124"/>
      <c r="J84" s="117"/>
      <c r="K84" s="118"/>
    </row>
    <row r="85" spans="1:11" s="154" customFormat="1" ht="15">
      <c r="A85" s="487" t="s">
        <v>103</v>
      </c>
      <c r="B85" s="488"/>
      <c r="C85" s="488"/>
      <c r="D85" s="488"/>
      <c r="E85" s="488"/>
      <c r="F85" s="488"/>
      <c r="G85" s="488"/>
      <c r="H85" s="488"/>
      <c r="I85" s="488"/>
      <c r="J85" s="489"/>
      <c r="K85" s="240">
        <f>SUM(K70:K84)</f>
        <v>61560</v>
      </c>
    </row>
    <row r="86" spans="1:11" s="11" customFormat="1">
      <c r="A86" s="119"/>
      <c r="B86" s="120"/>
      <c r="C86" s="112"/>
      <c r="D86" s="113"/>
      <c r="E86" s="113"/>
      <c r="F86" s="113"/>
      <c r="G86" s="113"/>
      <c r="H86" s="166"/>
      <c r="I86" s="112"/>
      <c r="J86" s="117"/>
      <c r="K86" s="118"/>
    </row>
    <row r="87" spans="1:11">
      <c r="A87" s="192">
        <v>4</v>
      </c>
      <c r="B87" s="136" t="s">
        <v>14</v>
      </c>
      <c r="C87" s="82"/>
      <c r="D87" s="5"/>
      <c r="E87" s="5"/>
      <c r="F87" s="5"/>
      <c r="G87" s="19"/>
      <c r="H87" s="76"/>
      <c r="I87" s="19"/>
      <c r="J87" s="14"/>
      <c r="K87" s="5"/>
    </row>
    <row r="88" spans="1:11">
      <c r="A88" s="192"/>
      <c r="B88" s="178"/>
      <c r="C88" s="83"/>
      <c r="D88" s="6"/>
      <c r="E88" s="5"/>
      <c r="F88" s="5"/>
      <c r="G88" s="19"/>
      <c r="H88" s="76"/>
      <c r="I88" s="19"/>
      <c r="J88" s="14"/>
      <c r="K88" s="5"/>
    </row>
    <row r="89" spans="1:11" ht="38.25">
      <c r="A89" s="192"/>
      <c r="B89" s="175" t="s">
        <v>401</v>
      </c>
      <c r="C89" s="83"/>
      <c r="D89" s="6"/>
      <c r="E89" s="5"/>
      <c r="F89" s="5"/>
      <c r="G89" s="19"/>
      <c r="H89" s="76"/>
      <c r="I89" s="19"/>
      <c r="J89" s="14"/>
      <c r="K89" s="5"/>
    </row>
    <row r="90" spans="1:11">
      <c r="A90" s="192"/>
      <c r="B90" s="175"/>
      <c r="C90" s="83"/>
      <c r="D90" s="6"/>
      <c r="E90" s="5"/>
      <c r="F90" s="5"/>
      <c r="G90" s="19"/>
      <c r="H90" s="76"/>
      <c r="I90" s="19"/>
      <c r="J90" s="14"/>
      <c r="K90" s="5"/>
    </row>
    <row r="91" spans="1:11">
      <c r="A91" s="119">
        <v>4.0999999999999996</v>
      </c>
      <c r="B91" s="136" t="s">
        <v>85</v>
      </c>
      <c r="C91" s="83"/>
      <c r="D91" s="6"/>
      <c r="E91" s="5"/>
      <c r="F91" s="5"/>
      <c r="G91" s="19"/>
      <c r="H91" s="76"/>
      <c r="I91" s="19"/>
      <c r="J91" s="14"/>
      <c r="K91" s="5"/>
    </row>
    <row r="92" spans="1:11">
      <c r="A92" s="192"/>
      <c r="B92" s="182"/>
      <c r="C92" s="83"/>
      <c r="D92" s="6"/>
      <c r="E92" s="5"/>
      <c r="F92" s="5"/>
      <c r="G92" s="19"/>
      <c r="H92" s="76"/>
      <c r="I92" s="19"/>
      <c r="J92" s="14"/>
      <c r="K92" s="5"/>
    </row>
    <row r="93" spans="1:11" ht="25.5">
      <c r="A93" s="194">
        <v>4.1100000000000003</v>
      </c>
      <c r="B93" s="288" t="s">
        <v>268</v>
      </c>
      <c r="C93" s="16" t="s">
        <v>3</v>
      </c>
      <c r="D93" s="338">
        <f>D4</f>
        <v>10</v>
      </c>
      <c r="E93" s="339"/>
      <c r="F93" s="5"/>
      <c r="G93" s="20"/>
      <c r="H93" s="76" t="s">
        <v>94</v>
      </c>
      <c r="I93" s="384">
        <f>(2*D93)+E93</f>
        <v>20</v>
      </c>
      <c r="J93" s="304">
        <v>1000</v>
      </c>
      <c r="K93" s="5">
        <f>I93*J93</f>
        <v>20000</v>
      </c>
    </row>
    <row r="94" spans="1:11">
      <c r="A94" s="194"/>
      <c r="B94" s="183"/>
      <c r="C94" s="16"/>
      <c r="D94" s="338"/>
      <c r="E94" s="339"/>
      <c r="F94" s="5"/>
      <c r="G94" s="20"/>
      <c r="H94" s="76"/>
      <c r="I94" s="20"/>
      <c r="J94" s="20"/>
      <c r="K94" s="5"/>
    </row>
    <row r="95" spans="1:11">
      <c r="A95" s="194">
        <v>4.12</v>
      </c>
      <c r="B95" s="181" t="s">
        <v>269</v>
      </c>
      <c r="C95" s="289" t="s">
        <v>3</v>
      </c>
      <c r="D95" s="338">
        <v>7.4</v>
      </c>
      <c r="E95" s="339">
        <v>1.5</v>
      </c>
      <c r="F95" s="5"/>
      <c r="G95" s="20"/>
      <c r="H95" s="334"/>
      <c r="I95" s="384">
        <f>D95+E95</f>
        <v>8.9</v>
      </c>
      <c r="J95" s="304">
        <v>350</v>
      </c>
      <c r="K95" s="5">
        <f>I95*J95</f>
        <v>3115</v>
      </c>
    </row>
    <row r="96" spans="1:11">
      <c r="A96" s="194"/>
      <c r="B96" s="288"/>
      <c r="C96" s="16"/>
      <c r="D96" s="338"/>
      <c r="E96" s="339"/>
      <c r="F96" s="280"/>
      <c r="G96" s="290"/>
      <c r="H96" s="337"/>
      <c r="I96" s="290"/>
      <c r="J96" s="290"/>
      <c r="K96" s="280"/>
    </row>
    <row r="97" spans="1:11">
      <c r="A97" s="119">
        <v>4.3</v>
      </c>
      <c r="B97" s="136" t="s">
        <v>185</v>
      </c>
      <c r="C97" s="83"/>
      <c r="D97" s="6"/>
      <c r="E97" s="5"/>
      <c r="F97" s="5"/>
      <c r="G97" s="19"/>
      <c r="H97" s="76"/>
      <c r="I97" s="19"/>
      <c r="J97" s="14"/>
      <c r="K97" s="5"/>
    </row>
    <row r="98" spans="1:11">
      <c r="A98" s="192"/>
      <c r="B98" s="175"/>
      <c r="C98" s="83"/>
      <c r="D98" s="6"/>
      <c r="E98" s="5"/>
      <c r="F98" s="5"/>
      <c r="G98" s="19"/>
      <c r="H98" s="76"/>
      <c r="I98" s="19"/>
      <c r="J98" s="14"/>
      <c r="K98" s="5"/>
    </row>
    <row r="99" spans="1:11" ht="69" customHeight="1">
      <c r="A99" s="194">
        <v>4.3099999999999996</v>
      </c>
      <c r="B99" s="389" t="s">
        <v>276</v>
      </c>
      <c r="C99" s="16" t="s">
        <v>279</v>
      </c>
      <c r="D99" s="26"/>
      <c r="E99" s="5"/>
      <c r="F99" s="5"/>
      <c r="G99" s="20"/>
      <c r="H99" s="76"/>
      <c r="I99" s="19" t="s">
        <v>124</v>
      </c>
      <c r="J99" s="287">
        <v>27000</v>
      </c>
      <c r="K99" s="5">
        <f>J99</f>
        <v>27000</v>
      </c>
    </row>
    <row r="100" spans="1:11">
      <c r="A100" s="192"/>
      <c r="B100" s="179"/>
      <c r="C100" s="16"/>
      <c r="D100" s="26"/>
      <c r="E100" s="5"/>
      <c r="F100" s="5"/>
      <c r="G100" s="19"/>
      <c r="H100" s="76"/>
      <c r="I100" s="19"/>
      <c r="J100" s="14"/>
      <c r="K100" s="5"/>
    </row>
    <row r="101" spans="1:11">
      <c r="A101" s="194">
        <v>4.32</v>
      </c>
      <c r="B101" s="180" t="s">
        <v>270</v>
      </c>
      <c r="C101" s="16" t="s">
        <v>11</v>
      </c>
      <c r="D101" s="26"/>
      <c r="E101" s="5"/>
      <c r="F101" s="5"/>
      <c r="G101" s="19"/>
      <c r="H101" s="76"/>
      <c r="I101" s="19">
        <v>1</v>
      </c>
      <c r="J101" s="14">
        <v>1500</v>
      </c>
      <c r="K101" s="5">
        <f>I101*J101</f>
        <v>1500</v>
      </c>
    </row>
    <row r="102" spans="1:11">
      <c r="A102" s="122"/>
      <c r="B102" s="123"/>
      <c r="C102" s="112"/>
      <c r="D102" s="113"/>
      <c r="E102" s="113"/>
      <c r="F102" s="113"/>
      <c r="G102" s="113"/>
      <c r="H102" s="166"/>
      <c r="I102" s="112"/>
      <c r="J102" s="117"/>
      <c r="K102" s="118"/>
    </row>
    <row r="103" spans="1:11" s="154" customFormat="1" ht="15">
      <c r="A103" s="487" t="s">
        <v>104</v>
      </c>
      <c r="B103" s="488"/>
      <c r="C103" s="488"/>
      <c r="D103" s="488"/>
      <c r="E103" s="488"/>
      <c r="F103" s="488"/>
      <c r="G103" s="488"/>
      <c r="H103" s="488"/>
      <c r="I103" s="488"/>
      <c r="J103" s="489"/>
      <c r="K103" s="240">
        <f>SUM(K86:K102)</f>
        <v>51615</v>
      </c>
    </row>
    <row r="104" spans="1:11" s="11" customFormat="1">
      <c r="A104" s="119"/>
      <c r="B104" s="120"/>
      <c r="C104" s="112" t="s">
        <v>58</v>
      </c>
      <c r="D104" s="113"/>
      <c r="E104" s="113"/>
      <c r="F104" s="113"/>
      <c r="G104" s="113"/>
      <c r="H104" s="166"/>
      <c r="I104" s="112"/>
      <c r="J104" s="117"/>
      <c r="K104" s="118"/>
    </row>
    <row r="105" spans="1:11">
      <c r="A105" s="192">
        <v>5</v>
      </c>
      <c r="B105" s="171" t="s">
        <v>110</v>
      </c>
      <c r="C105" s="19"/>
      <c r="D105" s="19"/>
      <c r="E105" s="19"/>
      <c r="F105" s="19"/>
      <c r="G105" s="19"/>
      <c r="H105" s="76"/>
      <c r="I105" s="19"/>
      <c r="J105" s="14"/>
      <c r="K105" s="5"/>
    </row>
    <row r="106" spans="1:11">
      <c r="A106" s="192"/>
      <c r="B106" s="177"/>
      <c r="C106" s="19"/>
      <c r="D106" s="19"/>
      <c r="E106" s="19"/>
      <c r="F106" s="19"/>
      <c r="G106" s="19"/>
      <c r="H106" s="76"/>
      <c r="I106" s="19"/>
      <c r="J106" s="14"/>
      <c r="K106" s="5"/>
    </row>
    <row r="107" spans="1:11">
      <c r="A107" s="192">
        <v>5.0999999999999996</v>
      </c>
      <c r="B107" s="136" t="s">
        <v>186</v>
      </c>
      <c r="C107" s="19"/>
      <c r="D107" s="19"/>
      <c r="E107" s="19"/>
      <c r="F107" s="19"/>
      <c r="G107" s="19"/>
      <c r="H107" s="76"/>
      <c r="I107" s="19"/>
      <c r="J107" s="14"/>
      <c r="K107" s="5"/>
    </row>
    <row r="108" spans="1:11">
      <c r="A108" s="192"/>
      <c r="B108" s="262"/>
      <c r="C108" s="19"/>
      <c r="D108" s="19"/>
      <c r="E108" s="19"/>
      <c r="F108" s="19"/>
      <c r="G108" s="19"/>
      <c r="H108" s="76"/>
      <c r="I108" s="19"/>
      <c r="J108" s="14"/>
      <c r="K108" s="5"/>
    </row>
    <row r="109" spans="1:11" ht="25.5">
      <c r="A109" s="194">
        <v>5.1100000000000003</v>
      </c>
      <c r="B109" s="291" t="s">
        <v>271</v>
      </c>
      <c r="C109" s="19" t="s">
        <v>11</v>
      </c>
      <c r="D109" s="19"/>
      <c r="E109" s="19"/>
      <c r="F109" s="19"/>
      <c r="G109" s="19"/>
      <c r="H109" s="76" t="s">
        <v>149</v>
      </c>
      <c r="I109" s="19">
        <v>8</v>
      </c>
      <c r="J109" s="14">
        <v>3500</v>
      </c>
      <c r="K109" s="5">
        <f>I109*J109</f>
        <v>28000</v>
      </c>
    </row>
    <row r="110" spans="1:11">
      <c r="A110" s="192"/>
      <c r="B110" s="262"/>
      <c r="C110" s="19"/>
      <c r="D110" s="19"/>
      <c r="E110" s="19"/>
      <c r="F110" s="19"/>
      <c r="G110" s="19"/>
      <c r="H110" s="76"/>
      <c r="I110" s="76"/>
      <c r="J110" s="76"/>
      <c r="K110" s="76"/>
    </row>
    <row r="111" spans="1:11" ht="38.25">
      <c r="A111" s="194">
        <v>5.12</v>
      </c>
      <c r="B111" s="281" t="s">
        <v>272</v>
      </c>
      <c r="C111" s="19" t="s">
        <v>11</v>
      </c>
      <c r="D111" s="19"/>
      <c r="E111" s="19"/>
      <c r="F111" s="19"/>
      <c r="G111" s="19"/>
      <c r="H111" s="76"/>
      <c r="I111" s="19">
        <v>12</v>
      </c>
      <c r="J111" s="14">
        <v>3000</v>
      </c>
      <c r="K111" s="5">
        <f>I111*J111</f>
        <v>36000</v>
      </c>
    </row>
    <row r="112" spans="1:11">
      <c r="A112" s="192"/>
      <c r="B112" s="385"/>
      <c r="C112" s="19"/>
      <c r="D112" s="19"/>
      <c r="E112" s="19"/>
      <c r="F112" s="19"/>
      <c r="G112" s="19"/>
      <c r="H112" s="76"/>
      <c r="I112" s="19"/>
      <c r="J112" s="14"/>
      <c r="K112" s="5"/>
    </row>
    <row r="113" spans="1:11">
      <c r="A113" s="192">
        <v>5.2</v>
      </c>
      <c r="B113" s="136" t="s">
        <v>187</v>
      </c>
      <c r="C113" s="19"/>
      <c r="D113" s="19"/>
      <c r="E113" s="19"/>
      <c r="F113" s="19"/>
      <c r="G113" s="19"/>
      <c r="H113" s="76"/>
      <c r="I113" s="19"/>
      <c r="J113" s="14"/>
      <c r="K113" s="5"/>
    </row>
    <row r="114" spans="1:11">
      <c r="A114" s="192"/>
      <c r="B114" s="262"/>
      <c r="C114" s="19"/>
      <c r="D114" s="19"/>
      <c r="E114" s="19"/>
      <c r="F114" s="19"/>
      <c r="G114" s="19"/>
      <c r="H114" s="76"/>
      <c r="I114" s="19"/>
      <c r="J114" s="14"/>
      <c r="K114" s="5"/>
    </row>
    <row r="115" spans="1:11" ht="25.5">
      <c r="A115" s="194">
        <v>5.21</v>
      </c>
      <c r="B115" s="281" t="s">
        <v>166</v>
      </c>
      <c r="C115" s="19" t="s">
        <v>64</v>
      </c>
      <c r="D115" s="19">
        <v>2.93</v>
      </c>
      <c r="E115" s="19">
        <v>2.15</v>
      </c>
      <c r="F115" s="19">
        <v>56.47</v>
      </c>
      <c r="G115" s="19">
        <v>21</v>
      </c>
      <c r="H115" s="334" t="s">
        <v>201</v>
      </c>
      <c r="I115" s="352">
        <f>(D115*F115)+(E115*G115)</f>
        <v>210.6071</v>
      </c>
      <c r="J115" s="14">
        <v>380</v>
      </c>
      <c r="K115" s="5">
        <f>I115*J115</f>
        <v>80030.698000000004</v>
      </c>
    </row>
    <row r="116" spans="1:11">
      <c r="A116" s="122"/>
      <c r="B116" s="165"/>
      <c r="C116" s="112"/>
      <c r="D116" s="125"/>
      <c r="E116" s="125"/>
      <c r="F116" s="125"/>
      <c r="G116" s="125"/>
      <c r="H116" s="336"/>
      <c r="I116" s="124"/>
      <c r="J116" s="117"/>
      <c r="K116" s="118"/>
    </row>
    <row r="117" spans="1:11" s="154" customFormat="1" ht="15">
      <c r="A117" s="487" t="s">
        <v>105</v>
      </c>
      <c r="B117" s="488"/>
      <c r="C117" s="488"/>
      <c r="D117" s="488"/>
      <c r="E117" s="488"/>
      <c r="F117" s="488"/>
      <c r="G117" s="488"/>
      <c r="H117" s="488"/>
      <c r="I117" s="488"/>
      <c r="J117" s="489"/>
      <c r="K117" s="240">
        <f>SUM(K104:K116)</f>
        <v>144030.698</v>
      </c>
    </row>
    <row r="118" spans="1:11" s="11" customFormat="1">
      <c r="A118" s="119"/>
      <c r="B118" s="120"/>
      <c r="C118" s="112"/>
      <c r="D118" s="113"/>
      <c r="E118" s="113"/>
      <c r="F118" s="113"/>
      <c r="G118" s="113"/>
      <c r="H118" s="166"/>
      <c r="I118" s="112"/>
      <c r="J118" s="117"/>
      <c r="K118" s="118"/>
    </row>
    <row r="119" spans="1:11" ht="18" customHeight="1">
      <c r="A119" s="192">
        <v>6</v>
      </c>
      <c r="B119" s="178" t="s">
        <v>92</v>
      </c>
      <c r="C119" s="19"/>
      <c r="D119" s="20"/>
      <c r="E119" s="20"/>
      <c r="F119" s="20"/>
      <c r="G119" s="20"/>
      <c r="H119" s="76"/>
      <c r="I119" s="20"/>
      <c r="J119" s="186"/>
      <c r="K119" s="5"/>
    </row>
    <row r="120" spans="1:11" ht="18" customHeight="1">
      <c r="A120" s="192"/>
      <c r="B120" s="178"/>
      <c r="C120" s="19"/>
      <c r="D120" s="20"/>
      <c r="E120" s="20"/>
      <c r="F120" s="20"/>
      <c r="G120" s="20"/>
      <c r="H120" s="76"/>
      <c r="I120" s="20"/>
      <c r="J120" s="186"/>
      <c r="K120" s="5"/>
    </row>
    <row r="121" spans="1:11" ht="18" customHeight="1">
      <c r="A121" s="192">
        <v>6.1</v>
      </c>
      <c r="B121" s="136" t="s">
        <v>90</v>
      </c>
      <c r="C121" s="19"/>
      <c r="D121" s="20"/>
      <c r="E121" s="20"/>
      <c r="F121" s="20"/>
      <c r="G121" s="20"/>
      <c r="H121" s="76"/>
      <c r="I121" s="20"/>
      <c r="J121" s="186"/>
      <c r="K121" s="5"/>
    </row>
    <row r="122" spans="1:11">
      <c r="A122" s="192"/>
      <c r="B122" s="178"/>
      <c r="C122" s="19"/>
      <c r="D122" s="20"/>
      <c r="E122" s="20"/>
      <c r="F122" s="20"/>
      <c r="G122" s="20"/>
      <c r="H122" s="76"/>
      <c r="I122" s="20"/>
      <c r="J122" s="186"/>
      <c r="K122" s="5"/>
    </row>
    <row r="123" spans="1:11" ht="26.25" customHeight="1">
      <c r="A123" s="192"/>
      <c r="B123" s="292" t="s">
        <v>454</v>
      </c>
      <c r="C123" s="19"/>
      <c r="D123" s="20"/>
      <c r="E123" s="20"/>
      <c r="F123" s="20"/>
      <c r="G123" s="20"/>
      <c r="H123" s="76"/>
      <c r="I123" s="20"/>
      <c r="J123" s="186"/>
      <c r="K123" s="5"/>
    </row>
    <row r="124" spans="1:11">
      <c r="A124" s="194"/>
      <c r="B124" s="175"/>
      <c r="C124" s="19"/>
      <c r="D124" s="20"/>
      <c r="E124" s="20"/>
      <c r="F124" s="20"/>
      <c r="G124" s="20"/>
      <c r="H124" s="76"/>
      <c r="I124" s="20"/>
      <c r="J124" s="186"/>
      <c r="K124" s="5"/>
    </row>
    <row r="125" spans="1:11" ht="25.5">
      <c r="A125" s="194">
        <v>6.11</v>
      </c>
      <c r="B125" s="292" t="s">
        <v>273</v>
      </c>
      <c r="C125" s="19" t="s">
        <v>37</v>
      </c>
      <c r="D125" s="20">
        <f>3.8*2</f>
        <v>7.6</v>
      </c>
      <c r="E125" s="20">
        <v>11.2</v>
      </c>
      <c r="F125" s="20">
        <f>D125*E125</f>
        <v>85.11999999999999</v>
      </c>
      <c r="G125" s="20">
        <f>20%*F125</f>
        <v>17.023999999999997</v>
      </c>
      <c r="H125" s="334" t="s">
        <v>274</v>
      </c>
      <c r="I125" s="386">
        <f>F125-G125</f>
        <v>68.095999999999989</v>
      </c>
      <c r="J125" s="14">
        <v>580</v>
      </c>
      <c r="K125" s="5">
        <f>I125*J125</f>
        <v>39495.679999999993</v>
      </c>
    </row>
    <row r="126" spans="1:11">
      <c r="A126" s="276"/>
      <c r="B126" s="281"/>
      <c r="C126" s="87"/>
      <c r="D126" s="290"/>
      <c r="E126" s="290"/>
      <c r="F126" s="290"/>
      <c r="G126" s="290"/>
      <c r="H126" s="337"/>
      <c r="I126" s="87"/>
      <c r="J126" s="279"/>
      <c r="K126" s="280"/>
    </row>
    <row r="127" spans="1:11" ht="25.5">
      <c r="A127" s="194">
        <v>6.12</v>
      </c>
      <c r="B127" s="389" t="s">
        <v>404</v>
      </c>
      <c r="C127" s="19" t="s">
        <v>37</v>
      </c>
      <c r="D127" s="20"/>
      <c r="E127" s="20"/>
      <c r="F127" s="20"/>
      <c r="G127" s="20"/>
      <c r="H127" s="334"/>
      <c r="I127" s="19">
        <f>G125</f>
        <v>17.023999999999997</v>
      </c>
      <c r="J127" s="14">
        <v>700</v>
      </c>
      <c r="K127" s="5">
        <f>I127*J127</f>
        <v>11916.799999999997</v>
      </c>
    </row>
    <row r="128" spans="1:11">
      <c r="A128" s="194"/>
      <c r="B128" s="390"/>
      <c r="C128" s="28"/>
      <c r="D128" s="391"/>
      <c r="E128" s="391"/>
      <c r="F128" s="391"/>
      <c r="G128" s="391"/>
      <c r="H128" s="392"/>
      <c r="I128" s="28"/>
      <c r="J128" s="14"/>
      <c r="K128" s="5"/>
    </row>
    <row r="129" spans="1:11">
      <c r="A129" s="192">
        <v>6.2</v>
      </c>
      <c r="B129" s="136" t="s">
        <v>89</v>
      </c>
      <c r="C129" s="28"/>
      <c r="D129" s="391"/>
      <c r="E129" s="391"/>
      <c r="F129" s="391"/>
      <c r="G129" s="391"/>
      <c r="H129" s="392"/>
      <c r="I129" s="28"/>
      <c r="J129" s="14"/>
      <c r="K129" s="5"/>
    </row>
    <row r="130" spans="1:11">
      <c r="A130" s="192"/>
      <c r="B130" s="292"/>
      <c r="C130" s="19"/>
      <c r="D130" s="20"/>
      <c r="E130" s="20"/>
      <c r="F130" s="20"/>
      <c r="G130" s="20"/>
      <c r="H130" s="76"/>
      <c r="I130" s="20"/>
      <c r="J130" s="186"/>
      <c r="K130" s="5"/>
    </row>
    <row r="131" spans="1:11">
      <c r="A131" s="194">
        <v>6.21</v>
      </c>
      <c r="B131" s="292" t="s">
        <v>170</v>
      </c>
      <c r="C131" s="19" t="s">
        <v>3</v>
      </c>
      <c r="D131" s="20">
        <v>11.2</v>
      </c>
      <c r="E131" s="20">
        <v>3.5</v>
      </c>
      <c r="F131" s="20"/>
      <c r="G131" s="20"/>
      <c r="H131" s="76"/>
      <c r="I131" s="20">
        <f>(D131*2)+(E131*4)</f>
        <v>36.4</v>
      </c>
      <c r="J131" s="14">
        <v>250</v>
      </c>
      <c r="K131" s="5">
        <f>I131*J131</f>
        <v>9100</v>
      </c>
    </row>
    <row r="132" spans="1:11">
      <c r="A132" s="122"/>
      <c r="B132" s="165"/>
      <c r="C132" s="112"/>
      <c r="D132" s="125"/>
      <c r="E132" s="125"/>
      <c r="F132" s="125"/>
      <c r="G132" s="125"/>
      <c r="H132" s="336"/>
      <c r="I132" s="124"/>
      <c r="J132" s="117"/>
      <c r="K132" s="118"/>
    </row>
    <row r="133" spans="1:11" s="154" customFormat="1" ht="15">
      <c r="A133" s="487" t="s">
        <v>106</v>
      </c>
      <c r="B133" s="488"/>
      <c r="C133" s="488"/>
      <c r="D133" s="488"/>
      <c r="E133" s="488"/>
      <c r="F133" s="488"/>
      <c r="G133" s="488"/>
      <c r="H133" s="488"/>
      <c r="I133" s="488"/>
      <c r="J133" s="489"/>
      <c r="K133" s="240">
        <f>SUM(K118:K132)</f>
        <v>60512.479999999989</v>
      </c>
    </row>
    <row r="134" spans="1:11" s="11" customFormat="1">
      <c r="A134" s="119"/>
      <c r="B134" s="120"/>
      <c r="C134" s="112"/>
      <c r="D134" s="113"/>
      <c r="E134" s="113"/>
      <c r="F134" s="113"/>
      <c r="G134" s="113"/>
      <c r="H134" s="166"/>
      <c r="I134" s="112"/>
      <c r="J134" s="117"/>
      <c r="K134" s="118"/>
    </row>
    <row r="135" spans="1:11" ht="18" customHeight="1">
      <c r="A135" s="192">
        <v>7</v>
      </c>
      <c r="B135" s="178" t="s">
        <v>275</v>
      </c>
      <c r="C135" s="19"/>
      <c r="D135" s="20"/>
      <c r="E135" s="20"/>
      <c r="F135" s="20"/>
      <c r="G135" s="20"/>
      <c r="H135" s="76"/>
      <c r="I135" s="20"/>
      <c r="J135" s="186"/>
      <c r="K135" s="5"/>
    </row>
    <row r="136" spans="1:11">
      <c r="A136" s="192"/>
      <c r="B136" s="178"/>
      <c r="C136" s="19"/>
      <c r="D136" s="20"/>
      <c r="E136" s="20"/>
      <c r="F136" s="20"/>
      <c r="G136" s="20"/>
      <c r="H136" s="76"/>
      <c r="I136" s="20"/>
      <c r="J136" s="186"/>
      <c r="K136" s="5"/>
    </row>
    <row r="137" spans="1:11" ht="51">
      <c r="A137" s="194">
        <v>7.1</v>
      </c>
      <c r="B137" s="292" t="s">
        <v>405</v>
      </c>
      <c r="C137" s="19" t="s">
        <v>279</v>
      </c>
      <c r="D137" s="20"/>
      <c r="E137" s="20"/>
      <c r="F137" s="20"/>
      <c r="G137" s="20"/>
      <c r="H137" s="334"/>
      <c r="I137" s="386" t="s">
        <v>124</v>
      </c>
      <c r="J137" s="14">
        <v>2000</v>
      </c>
      <c r="K137" s="5">
        <f>J137</f>
        <v>2000</v>
      </c>
    </row>
    <row r="138" spans="1:11">
      <c r="A138" s="276"/>
      <c r="B138" s="281"/>
      <c r="C138" s="87"/>
      <c r="D138" s="290"/>
      <c r="E138" s="290"/>
      <c r="F138" s="290"/>
      <c r="G138" s="290"/>
      <c r="H138" s="337"/>
      <c r="I138" s="87"/>
      <c r="J138" s="279"/>
      <c r="K138" s="280"/>
    </row>
    <row r="139" spans="1:11" s="154" customFormat="1" ht="15">
      <c r="A139" s="487" t="s">
        <v>143</v>
      </c>
      <c r="B139" s="488"/>
      <c r="C139" s="488"/>
      <c r="D139" s="488"/>
      <c r="E139" s="488"/>
      <c r="F139" s="488"/>
      <c r="G139" s="488"/>
      <c r="H139" s="488"/>
      <c r="I139" s="488"/>
      <c r="J139" s="489"/>
      <c r="K139" s="383">
        <f>SUM(K134:K138)</f>
        <v>2000</v>
      </c>
    </row>
    <row r="140" spans="1:11">
      <c r="A140" s="361"/>
      <c r="B140" s="205"/>
      <c r="C140" s="19"/>
      <c r="D140" s="19"/>
      <c r="E140" s="19"/>
      <c r="F140" s="19"/>
      <c r="G140" s="19"/>
      <c r="H140" s="19"/>
      <c r="I140" s="19"/>
      <c r="J140" s="14"/>
      <c r="K140" s="5"/>
    </row>
    <row r="141" spans="1:11">
      <c r="A141" s="192">
        <v>8</v>
      </c>
      <c r="B141" s="204" t="s">
        <v>75</v>
      </c>
      <c r="C141" s="28"/>
      <c r="D141" s="28"/>
      <c r="E141" s="28"/>
      <c r="F141" s="28"/>
      <c r="G141" s="28"/>
      <c r="H141" s="28"/>
      <c r="I141" s="28"/>
      <c r="J141" s="28"/>
      <c r="K141" s="5"/>
    </row>
    <row r="142" spans="1:11">
      <c r="A142" s="276"/>
      <c r="B142" s="206"/>
      <c r="C142" s="28"/>
      <c r="D142" s="28"/>
      <c r="E142" s="28"/>
      <c r="F142" s="28"/>
      <c r="G142" s="28"/>
      <c r="H142" s="28"/>
      <c r="I142" s="28"/>
      <c r="J142" s="28"/>
      <c r="K142" s="5"/>
    </row>
    <row r="143" spans="1:11">
      <c r="A143" s="192">
        <v>8.1</v>
      </c>
      <c r="B143" s="204" t="s">
        <v>175</v>
      </c>
      <c r="C143" s="28"/>
      <c r="D143" s="28"/>
      <c r="E143" s="28"/>
      <c r="F143" s="28"/>
      <c r="G143" s="28"/>
      <c r="H143" s="28"/>
      <c r="I143" s="28"/>
      <c r="J143" s="28"/>
      <c r="K143" s="5"/>
    </row>
    <row r="144" spans="1:11">
      <c r="A144" s="298"/>
      <c r="B144" s="204"/>
      <c r="C144" s="28"/>
      <c r="D144" s="28"/>
      <c r="E144" s="28"/>
      <c r="F144" s="28"/>
      <c r="G144" s="28"/>
      <c r="H144" s="28"/>
      <c r="I144" s="28"/>
      <c r="J144" s="28"/>
      <c r="K144" s="5"/>
    </row>
    <row r="145" spans="1:11">
      <c r="A145" s="276"/>
      <c r="B145" s="206" t="s">
        <v>174</v>
      </c>
      <c r="C145" s="28"/>
      <c r="D145" s="28"/>
      <c r="E145" s="28"/>
      <c r="F145" s="28"/>
      <c r="G145" s="28"/>
      <c r="H145" s="28"/>
      <c r="I145" s="28"/>
      <c r="J145" s="28"/>
      <c r="K145" s="5"/>
    </row>
    <row r="146" spans="1:11">
      <c r="A146" s="361"/>
      <c r="B146" s="204"/>
      <c r="C146" s="28"/>
      <c r="D146" s="28"/>
      <c r="E146" s="28"/>
      <c r="F146" s="28"/>
      <c r="G146" s="28"/>
      <c r="H146" s="28"/>
      <c r="I146" s="28"/>
      <c r="J146" s="28"/>
      <c r="K146" s="5"/>
    </row>
    <row r="147" spans="1:11" ht="15.75">
      <c r="A147" s="194">
        <v>8.11</v>
      </c>
      <c r="B147" s="294" t="s">
        <v>74</v>
      </c>
      <c r="C147" s="28" t="s">
        <v>37</v>
      </c>
      <c r="D147" s="100"/>
      <c r="E147" s="28"/>
      <c r="F147" s="100"/>
      <c r="G147" s="28"/>
      <c r="H147" s="28"/>
      <c r="I147" s="296">
        <f>I131*0.2</f>
        <v>7.28</v>
      </c>
      <c r="J147" s="14">
        <v>600</v>
      </c>
      <c r="K147" s="5">
        <f>I147*J147</f>
        <v>4368</v>
      </c>
    </row>
    <row r="148" spans="1:11">
      <c r="A148" s="276"/>
      <c r="B148" s="206"/>
      <c r="C148" s="28"/>
      <c r="D148" s="28"/>
      <c r="E148" s="28"/>
      <c r="F148" s="28"/>
      <c r="G148" s="28"/>
      <c r="H148" s="28"/>
      <c r="I148" s="28"/>
      <c r="J148" s="28"/>
      <c r="K148" s="5"/>
    </row>
    <row r="149" spans="1:11">
      <c r="A149" s="194">
        <v>8.1199999999999992</v>
      </c>
      <c r="B149" s="206" t="s">
        <v>298</v>
      </c>
      <c r="C149" s="28" t="s">
        <v>279</v>
      </c>
      <c r="D149" s="28"/>
      <c r="E149" s="28"/>
      <c r="F149" s="28"/>
      <c r="G149" s="28"/>
      <c r="H149" s="28"/>
      <c r="I149" s="28" t="s">
        <v>124</v>
      </c>
      <c r="J149" s="14">
        <v>3000</v>
      </c>
      <c r="K149" s="5">
        <f>J149</f>
        <v>3000</v>
      </c>
    </row>
    <row r="150" spans="1:11">
      <c r="A150" s="276"/>
      <c r="B150" s="294"/>
      <c r="C150" s="112"/>
      <c r="D150" s="113"/>
      <c r="E150" s="113"/>
      <c r="F150" s="113"/>
      <c r="G150" s="113"/>
      <c r="H150" s="113"/>
      <c r="I150" s="112"/>
      <c r="J150" s="117"/>
      <c r="K150" s="118"/>
    </row>
    <row r="151" spans="1:11" s="154" customFormat="1" ht="15">
      <c r="A151" s="487" t="s">
        <v>109</v>
      </c>
      <c r="B151" s="488"/>
      <c r="C151" s="488"/>
      <c r="D151" s="488"/>
      <c r="E151" s="488"/>
      <c r="F151" s="488"/>
      <c r="G151" s="488"/>
      <c r="H151" s="488"/>
      <c r="I151" s="488"/>
      <c r="J151" s="489"/>
      <c r="K151" s="383">
        <f>SUM(K140:K150)</f>
        <v>7368</v>
      </c>
    </row>
    <row r="152" spans="1:11" s="11" customFormat="1" ht="15" customHeight="1">
      <c r="A152" s="498"/>
      <c r="B152" s="499"/>
      <c r="C152" s="499"/>
      <c r="D152" s="499"/>
      <c r="E152" s="499"/>
      <c r="F152" s="499"/>
      <c r="G152" s="499"/>
      <c r="H152" s="499"/>
      <c r="I152" s="499"/>
      <c r="J152" s="499"/>
      <c r="K152" s="500"/>
    </row>
    <row r="153" spans="1:11" ht="14.25" customHeight="1">
      <c r="A153" s="497" t="s">
        <v>108</v>
      </c>
      <c r="B153" s="497"/>
      <c r="C153" s="497"/>
      <c r="D153" s="497"/>
      <c r="E153" s="497"/>
      <c r="F153" s="497"/>
      <c r="G153" s="497"/>
      <c r="H153" s="497"/>
      <c r="I153" s="497"/>
      <c r="J153" s="497"/>
      <c r="K153" s="106">
        <f>K31+K69+K85+K103+K117+K133+K139+K151</f>
        <v>715182.66399999999</v>
      </c>
    </row>
    <row r="154" spans="1:11" ht="14.25" customHeight="1">
      <c r="A154" s="497" t="s">
        <v>107</v>
      </c>
      <c r="B154" s="497" t="s">
        <v>7</v>
      </c>
      <c r="C154" s="497"/>
      <c r="D154" s="497"/>
      <c r="E154" s="497"/>
      <c r="F154" s="497"/>
      <c r="G154" s="497"/>
      <c r="H154" s="497"/>
      <c r="I154" s="497"/>
      <c r="J154" s="497"/>
      <c r="K154" s="106">
        <f>0.05*K153</f>
        <v>35759.133200000004</v>
      </c>
    </row>
    <row r="155" spans="1:11">
      <c r="A155" s="497" t="s">
        <v>108</v>
      </c>
      <c r="B155" s="497"/>
      <c r="C155" s="497"/>
      <c r="D155" s="497"/>
      <c r="E155" s="497"/>
      <c r="F155" s="497"/>
      <c r="G155" s="497"/>
      <c r="H155" s="497"/>
      <c r="I155" s="497"/>
      <c r="J155" s="497"/>
      <c r="K155" s="106">
        <f>SUM(K153:K154)</f>
        <v>750941.79720000003</v>
      </c>
    </row>
    <row r="156" spans="1:11" s="11" customFormat="1" ht="39.75" customHeight="1">
      <c r="A156" s="496" t="s">
        <v>222</v>
      </c>
      <c r="B156" s="496"/>
      <c r="C156" s="496"/>
      <c r="D156" s="496"/>
      <c r="E156" s="496"/>
      <c r="F156" s="496"/>
      <c r="G156" s="496"/>
      <c r="H156" s="496"/>
      <c r="I156" s="496"/>
      <c r="J156" s="496"/>
      <c r="K156" s="496"/>
    </row>
    <row r="157" spans="1:11">
      <c r="B157" s="184"/>
    </row>
  </sheetData>
  <mergeCells count="16">
    <mergeCell ref="A153:J153"/>
    <mergeCell ref="A154:J154"/>
    <mergeCell ref="A155:J155"/>
    <mergeCell ref="A156:K156"/>
    <mergeCell ref="A1:I1"/>
    <mergeCell ref="A2:K2"/>
    <mergeCell ref="D3:H3"/>
    <mergeCell ref="A31:J31"/>
    <mergeCell ref="A69:J69"/>
    <mergeCell ref="A85:J85"/>
    <mergeCell ref="A103:J103"/>
    <mergeCell ref="A117:J117"/>
    <mergeCell ref="A133:J133"/>
    <mergeCell ref="A152:K152"/>
    <mergeCell ref="A139:J139"/>
    <mergeCell ref="A151:J151"/>
  </mergeCells>
  <pageMargins left="0.7" right="0.7" top="0.75" bottom="0.75" header="0.3" footer="0.3"/>
  <pageSetup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3"/>
  <sheetViews>
    <sheetView topLeftCell="A12" zoomScale="80" zoomScaleNormal="80" zoomScaleSheetLayoutView="100" workbookViewId="0">
      <selection activeCell="F19" sqref="F19"/>
    </sheetView>
  </sheetViews>
  <sheetFormatPr defaultColWidth="9.140625" defaultRowHeight="14.25"/>
  <cols>
    <col min="1" max="1" width="9.28515625" style="24" customWidth="1"/>
    <col min="2" max="2" width="65.7109375" style="185" customWidth="1"/>
    <col min="3" max="6" width="12.140625" style="68" customWidth="1"/>
    <col min="7" max="7" width="13.85546875" style="68" customWidth="1"/>
    <col min="8" max="8" width="35.5703125" style="77" customWidth="1"/>
    <col min="9" max="9" width="12.140625" style="68" customWidth="1"/>
    <col min="10" max="10" width="16.85546875" style="68" customWidth="1"/>
    <col min="11" max="11" width="17.42578125" style="11" customWidth="1"/>
    <col min="12" max="16384" width="9.140625" style="8"/>
  </cols>
  <sheetData>
    <row r="1" spans="1:11" ht="48.75" customHeight="1">
      <c r="A1" s="485" t="s">
        <v>99</v>
      </c>
      <c r="B1" s="486"/>
      <c r="C1" s="486"/>
      <c r="D1" s="486"/>
      <c r="E1" s="486"/>
      <c r="F1" s="486"/>
      <c r="G1" s="486"/>
      <c r="H1" s="486"/>
      <c r="I1" s="486"/>
      <c r="J1" s="387"/>
      <c r="K1" s="151"/>
    </row>
    <row r="2" spans="1:11" ht="14.25" customHeight="1">
      <c r="A2" s="505" t="s">
        <v>413</v>
      </c>
      <c r="B2" s="505"/>
      <c r="C2" s="505"/>
      <c r="D2" s="505"/>
      <c r="E2" s="505"/>
      <c r="F2" s="505"/>
      <c r="G2" s="505"/>
      <c r="H2" s="505"/>
      <c r="I2" s="505"/>
      <c r="J2" s="505"/>
      <c r="K2" s="505"/>
    </row>
    <row r="3" spans="1:11">
      <c r="A3" s="158" t="s">
        <v>0</v>
      </c>
      <c r="B3" s="159" t="s">
        <v>1</v>
      </c>
      <c r="C3" s="105" t="s">
        <v>2</v>
      </c>
      <c r="D3" s="506" t="s">
        <v>32</v>
      </c>
      <c r="E3" s="507"/>
      <c r="F3" s="507"/>
      <c r="G3" s="507"/>
      <c r="H3" s="508"/>
      <c r="I3" s="105" t="s">
        <v>98</v>
      </c>
      <c r="J3" s="105" t="s">
        <v>4</v>
      </c>
      <c r="K3" s="159" t="s">
        <v>5</v>
      </c>
    </row>
    <row r="4" spans="1:11">
      <c r="A4" s="187"/>
      <c r="B4" s="188"/>
      <c r="C4" s="189"/>
      <c r="D4" s="333">
        <v>3</v>
      </c>
      <c r="E4" s="333">
        <v>2.5</v>
      </c>
      <c r="F4" s="333">
        <v>2.2000000000000002</v>
      </c>
      <c r="G4" s="189"/>
      <c r="H4" s="335"/>
      <c r="I4" s="189"/>
      <c r="J4" s="189"/>
      <c r="K4" s="189"/>
    </row>
    <row r="5" spans="1:11">
      <c r="A5" s="190">
        <v>1</v>
      </c>
      <c r="B5" s="2" t="s">
        <v>8</v>
      </c>
      <c r="C5" s="19"/>
      <c r="D5" s="19"/>
      <c r="E5" s="19"/>
      <c r="F5" s="19"/>
      <c r="G5" s="19"/>
      <c r="H5" s="76"/>
      <c r="I5" s="19"/>
      <c r="J5" s="14"/>
      <c r="K5" s="5"/>
    </row>
    <row r="6" spans="1:11" ht="15">
      <c r="A6" s="193"/>
      <c r="B6" s="2"/>
      <c r="C6" s="19"/>
      <c r="D6" s="19"/>
      <c r="E6" s="19"/>
      <c r="F6" s="19"/>
      <c r="G6" s="19"/>
      <c r="H6" s="76"/>
      <c r="I6" s="19"/>
      <c r="J6" s="14"/>
      <c r="K6" s="5"/>
    </row>
    <row r="7" spans="1:11" ht="39.75" customHeight="1">
      <c r="A7" s="194"/>
      <c r="B7" s="21" t="s">
        <v>158</v>
      </c>
      <c r="C7" s="20"/>
      <c r="D7" s="20"/>
      <c r="E7" s="20"/>
      <c r="F7" s="20"/>
      <c r="G7" s="20"/>
      <c r="H7" s="76"/>
      <c r="I7" s="20"/>
      <c r="J7" s="20"/>
      <c r="K7" s="5"/>
    </row>
    <row r="8" spans="1:11">
      <c r="A8" s="194"/>
      <c r="B8" s="21"/>
      <c r="C8" s="20"/>
      <c r="D8" s="20"/>
      <c r="E8" s="20"/>
      <c r="F8" s="20"/>
      <c r="G8" s="20"/>
      <c r="H8" s="76"/>
      <c r="I8" s="20"/>
      <c r="J8" s="20"/>
      <c r="K8" s="5"/>
    </row>
    <row r="9" spans="1:11">
      <c r="A9" s="190">
        <v>1.1000000000000001</v>
      </c>
      <c r="B9" s="167" t="s">
        <v>178</v>
      </c>
      <c r="C9" s="20"/>
      <c r="D9" s="20"/>
      <c r="E9" s="20"/>
      <c r="F9" s="20"/>
      <c r="G9" s="20"/>
      <c r="H9" s="76"/>
      <c r="I9" s="20"/>
      <c r="J9" s="20"/>
      <c r="K9" s="5"/>
    </row>
    <row r="10" spans="1:11">
      <c r="A10" s="194"/>
      <c r="B10" s="21"/>
      <c r="C10" s="20"/>
      <c r="D10" s="290"/>
      <c r="E10" s="290"/>
      <c r="F10" s="20"/>
      <c r="G10" s="20"/>
      <c r="H10" s="76"/>
      <c r="I10" s="20"/>
      <c r="J10" s="20"/>
      <c r="K10" s="5"/>
    </row>
    <row r="11" spans="1:11" ht="40.5" customHeight="1">
      <c r="A11" s="194">
        <v>1.1100000000000001</v>
      </c>
      <c r="B11" s="21" t="s">
        <v>258</v>
      </c>
      <c r="C11" s="20" t="s">
        <v>37</v>
      </c>
      <c r="D11" s="245">
        <f>D4+0.4</f>
        <v>3.4</v>
      </c>
      <c r="E11" s="245">
        <f>E4+0.4</f>
        <v>2.9</v>
      </c>
      <c r="F11" s="20"/>
      <c r="G11" s="20"/>
      <c r="H11" s="76"/>
      <c r="I11" s="20">
        <f>D11*E11</f>
        <v>9.86</v>
      </c>
      <c r="J11" s="14">
        <v>100</v>
      </c>
      <c r="K11" s="5">
        <f>I11*J11</f>
        <v>986</v>
      </c>
    </row>
    <row r="12" spans="1:11">
      <c r="A12" s="194"/>
      <c r="B12" s="21"/>
      <c r="C12" s="20"/>
      <c r="D12" s="20"/>
      <c r="E12" s="20"/>
      <c r="F12" s="20"/>
      <c r="G12" s="20"/>
      <c r="H12" s="76"/>
      <c r="I12" s="20"/>
      <c r="J12" s="20"/>
      <c r="K12" s="5"/>
    </row>
    <row r="13" spans="1:11">
      <c r="A13" s="190">
        <v>1.2</v>
      </c>
      <c r="B13" s="167" t="s">
        <v>179</v>
      </c>
      <c r="C13" s="20"/>
      <c r="D13" s="20"/>
      <c r="E13" s="20"/>
      <c r="F13" s="20"/>
      <c r="G13" s="20"/>
      <c r="H13" s="76"/>
      <c r="I13" s="20"/>
      <c r="J13" s="20"/>
      <c r="K13" s="5"/>
    </row>
    <row r="14" spans="1:11">
      <c r="A14" s="194"/>
      <c r="B14" s="21"/>
      <c r="C14" s="20"/>
      <c r="D14" s="20"/>
      <c r="E14" s="20"/>
      <c r="F14" s="20"/>
      <c r="G14" s="20"/>
      <c r="H14" s="76"/>
      <c r="I14" s="20"/>
      <c r="J14" s="20"/>
      <c r="K14" s="5"/>
    </row>
    <row r="15" spans="1:11" ht="43.5" customHeight="1">
      <c r="A15" s="194"/>
      <c r="B15" s="21" t="s">
        <v>349</v>
      </c>
      <c r="C15" s="20"/>
      <c r="D15" s="20"/>
      <c r="E15" s="20"/>
      <c r="F15" s="20"/>
      <c r="G15" s="20"/>
      <c r="H15" s="76"/>
      <c r="I15" s="20"/>
      <c r="J15" s="20"/>
      <c r="K15" s="5"/>
    </row>
    <row r="16" spans="1:11">
      <c r="A16" s="194"/>
      <c r="B16" s="21"/>
      <c r="C16" s="20"/>
      <c r="D16" s="20"/>
      <c r="E16" s="20"/>
      <c r="F16" s="20"/>
      <c r="G16" s="20"/>
      <c r="H16" s="76"/>
      <c r="I16" s="20"/>
      <c r="J16" s="20"/>
      <c r="K16" s="5"/>
    </row>
    <row r="17" spans="1:11" ht="15.75">
      <c r="A17" s="445">
        <v>1.21</v>
      </c>
      <c r="B17" s="446" t="s">
        <v>318</v>
      </c>
      <c r="C17" s="447" t="s">
        <v>34</v>
      </c>
      <c r="D17" s="412">
        <f>D11</f>
        <v>3.4</v>
      </c>
      <c r="E17" s="412">
        <f>F4</f>
        <v>2.2000000000000002</v>
      </c>
      <c r="F17" s="412">
        <v>0.2</v>
      </c>
      <c r="G17" s="412">
        <v>0.6</v>
      </c>
      <c r="H17" s="448" t="s">
        <v>261</v>
      </c>
      <c r="I17" s="447">
        <f>((D17*2)+(E17*2))*F17*G17</f>
        <v>1.3439999999999999</v>
      </c>
      <c r="J17" s="449">
        <v>250</v>
      </c>
      <c r="K17" s="450">
        <f>I17*J17</f>
        <v>335.99999999999994</v>
      </c>
    </row>
    <row r="18" spans="1:11">
      <c r="A18" s="195"/>
      <c r="B18" s="21"/>
      <c r="C18" s="20"/>
      <c r="D18" s="20"/>
      <c r="E18" s="20"/>
      <c r="F18" s="20"/>
      <c r="G18" s="20"/>
      <c r="H18" s="76"/>
      <c r="I18" s="20"/>
      <c r="J18" s="20"/>
      <c r="K18" s="5"/>
    </row>
    <row r="19" spans="1:11" ht="38.25">
      <c r="A19" s="196">
        <v>1.22</v>
      </c>
      <c r="B19" s="21" t="s">
        <v>363</v>
      </c>
      <c r="C19" s="20" t="s">
        <v>34</v>
      </c>
      <c r="D19" s="20"/>
      <c r="E19" s="20"/>
      <c r="F19" s="20"/>
      <c r="G19" s="20"/>
      <c r="H19" s="334" t="s">
        <v>120</v>
      </c>
      <c r="I19" s="20">
        <f>(I11*0.25)+(0.3*I17)</f>
        <v>2.8681999999999999</v>
      </c>
      <c r="J19" s="14">
        <v>350</v>
      </c>
      <c r="K19" s="5">
        <f>I19*J19</f>
        <v>1003.87</v>
      </c>
    </row>
    <row r="20" spans="1:11">
      <c r="A20" s="195"/>
      <c r="B20" s="21"/>
      <c r="C20" s="20"/>
      <c r="D20" s="20"/>
      <c r="E20" s="20"/>
      <c r="F20" s="20"/>
      <c r="G20" s="20"/>
      <c r="H20" s="76"/>
      <c r="I20" s="20"/>
      <c r="J20" s="20"/>
      <c r="K20" s="5"/>
    </row>
    <row r="21" spans="1:11" ht="42" customHeight="1">
      <c r="A21" s="451">
        <v>1.23</v>
      </c>
      <c r="B21" s="452" t="s">
        <v>467</v>
      </c>
      <c r="C21" s="453" t="s">
        <v>34</v>
      </c>
      <c r="D21" s="453"/>
      <c r="E21" s="453"/>
      <c r="F21" s="453"/>
      <c r="G21" s="453"/>
      <c r="H21" s="408" t="s">
        <v>204</v>
      </c>
      <c r="I21" s="447">
        <f>60%*(SUM($I17))</f>
        <v>0.80639999999999989</v>
      </c>
      <c r="J21" s="449">
        <v>600</v>
      </c>
      <c r="K21" s="450">
        <f>I21*J21</f>
        <v>483.83999999999992</v>
      </c>
    </row>
    <row r="22" spans="1:11">
      <c r="A22" s="197"/>
      <c r="B22" s="170"/>
      <c r="C22" s="78"/>
      <c r="D22" s="78"/>
      <c r="E22" s="78"/>
      <c r="F22" s="78"/>
      <c r="G22" s="78"/>
      <c r="H22" s="264"/>
      <c r="I22" s="130"/>
      <c r="J22" s="20"/>
      <c r="K22" s="5"/>
    </row>
    <row r="23" spans="1:11" ht="15.75">
      <c r="A23" s="451">
        <v>1.24</v>
      </c>
      <c r="B23" s="452" t="s">
        <v>35</v>
      </c>
      <c r="C23" s="453" t="s">
        <v>34</v>
      </c>
      <c r="D23" s="453"/>
      <c r="E23" s="453"/>
      <c r="F23" s="453"/>
      <c r="G23" s="453"/>
      <c r="H23" s="408" t="s">
        <v>153</v>
      </c>
      <c r="I23" s="407">
        <f>30%*(SUM($I17))</f>
        <v>0.40319999999999995</v>
      </c>
      <c r="J23" s="449">
        <v>960</v>
      </c>
      <c r="K23" s="450">
        <f>I23*J23</f>
        <v>387.07199999999995</v>
      </c>
    </row>
    <row r="24" spans="1:11">
      <c r="A24" s="197"/>
      <c r="B24" s="170"/>
      <c r="C24" s="78"/>
      <c r="D24" s="78"/>
      <c r="E24" s="78"/>
      <c r="F24" s="78"/>
      <c r="G24" s="78"/>
      <c r="H24" s="264"/>
      <c r="I24" s="130"/>
      <c r="J24" s="20"/>
      <c r="K24" s="5"/>
    </row>
    <row r="25" spans="1:11" ht="15.75">
      <c r="A25" s="451">
        <v>1.25</v>
      </c>
      <c r="B25" s="452" t="s">
        <v>36</v>
      </c>
      <c r="C25" s="453" t="s">
        <v>34</v>
      </c>
      <c r="D25" s="453"/>
      <c r="E25" s="453"/>
      <c r="F25" s="453"/>
      <c r="G25" s="453"/>
      <c r="H25" s="408" t="s">
        <v>215</v>
      </c>
      <c r="I25" s="407">
        <f>10%*(SUM($I17))</f>
        <v>0.13439999999999999</v>
      </c>
      <c r="J25" s="449">
        <v>1800</v>
      </c>
      <c r="K25" s="450">
        <f>I25*J25</f>
        <v>241.92</v>
      </c>
    </row>
    <row r="26" spans="1:11">
      <c r="A26" s="194"/>
      <c r="B26" s="21"/>
      <c r="C26" s="20"/>
      <c r="D26" s="20"/>
      <c r="E26" s="20"/>
      <c r="F26" s="20"/>
      <c r="G26" s="20"/>
      <c r="H26" s="76"/>
      <c r="I26" s="20"/>
      <c r="J26" s="20"/>
      <c r="K26" s="5"/>
    </row>
    <row r="27" spans="1:11">
      <c r="A27" s="190">
        <v>1.3</v>
      </c>
      <c r="B27" s="167" t="s">
        <v>180</v>
      </c>
      <c r="C27" s="20"/>
      <c r="D27" s="78"/>
      <c r="E27" s="78"/>
      <c r="F27" s="78"/>
      <c r="G27" s="78"/>
      <c r="H27" s="76"/>
      <c r="I27" s="20"/>
      <c r="J27" s="20"/>
      <c r="K27" s="5"/>
    </row>
    <row r="28" spans="1:11">
      <c r="A28" s="194"/>
      <c r="B28" s="21"/>
      <c r="C28" s="20"/>
      <c r="D28" s="20"/>
      <c r="E28" s="20"/>
      <c r="F28" s="20"/>
      <c r="G28" s="20"/>
      <c r="H28" s="76"/>
      <c r="I28" s="20"/>
      <c r="J28" s="20"/>
      <c r="K28" s="5"/>
    </row>
    <row r="29" spans="1:11" ht="25.5">
      <c r="A29" s="194">
        <v>1.31</v>
      </c>
      <c r="B29" s="21" t="s">
        <v>262</v>
      </c>
      <c r="C29" s="20" t="s">
        <v>34</v>
      </c>
      <c r="D29" s="245">
        <f>D17</f>
        <v>3.4</v>
      </c>
      <c r="E29" s="245">
        <f>E4</f>
        <v>2.5</v>
      </c>
      <c r="F29" s="245">
        <v>0.25</v>
      </c>
      <c r="G29" s="20"/>
      <c r="H29" s="76"/>
      <c r="I29" s="20">
        <f>D29*E29*F29</f>
        <v>2.125</v>
      </c>
      <c r="J29" s="14">
        <v>980</v>
      </c>
      <c r="K29" s="5">
        <f>I29*J29</f>
        <v>2082.5</v>
      </c>
    </row>
    <row r="30" spans="1:11">
      <c r="A30" s="122"/>
      <c r="B30" s="165"/>
      <c r="C30" s="112"/>
      <c r="D30" s="125"/>
      <c r="E30" s="125"/>
      <c r="F30" s="125"/>
      <c r="G30" s="125"/>
      <c r="H30" s="336"/>
      <c r="I30" s="124"/>
      <c r="J30" s="117"/>
      <c r="K30" s="118"/>
    </row>
    <row r="31" spans="1:11" s="154" customFormat="1" ht="15">
      <c r="A31" s="487" t="s">
        <v>111</v>
      </c>
      <c r="B31" s="488"/>
      <c r="C31" s="488"/>
      <c r="D31" s="488"/>
      <c r="E31" s="488"/>
      <c r="F31" s="488"/>
      <c r="G31" s="488"/>
      <c r="H31" s="488"/>
      <c r="I31" s="488"/>
      <c r="J31" s="489"/>
      <c r="K31" s="388">
        <f>SUM(K5:K30)</f>
        <v>5521.2020000000002</v>
      </c>
    </row>
    <row r="32" spans="1:11" s="11" customFormat="1">
      <c r="A32" s="119"/>
      <c r="B32" s="120"/>
      <c r="C32" s="112"/>
      <c r="D32" s="113"/>
      <c r="E32" s="113"/>
      <c r="F32" s="113"/>
      <c r="G32" s="113"/>
      <c r="H32" s="166"/>
      <c r="I32" s="112"/>
      <c r="J32" s="117"/>
      <c r="K32" s="118"/>
    </row>
    <row r="33" spans="1:11">
      <c r="A33" s="190">
        <v>2</v>
      </c>
      <c r="B33" s="2" t="s">
        <v>50</v>
      </c>
      <c r="C33" s="19"/>
      <c r="D33" s="19"/>
      <c r="E33" s="19"/>
      <c r="F33" s="19"/>
      <c r="G33" s="19"/>
      <c r="H33" s="76"/>
      <c r="I33" s="19"/>
      <c r="J33" s="14"/>
      <c r="K33" s="5"/>
    </row>
    <row r="34" spans="1:11">
      <c r="A34" s="192"/>
      <c r="B34" s="169"/>
      <c r="C34" s="19"/>
      <c r="D34" s="19"/>
      <c r="E34" s="19"/>
      <c r="F34" s="19"/>
      <c r="G34" s="19"/>
      <c r="H34" s="76"/>
      <c r="I34" s="19"/>
      <c r="J34" s="14"/>
      <c r="K34" s="5"/>
    </row>
    <row r="35" spans="1:11">
      <c r="A35" s="119">
        <v>2.1</v>
      </c>
      <c r="B35" s="136" t="s">
        <v>282</v>
      </c>
      <c r="C35" s="19"/>
      <c r="D35" s="7"/>
      <c r="E35" s="5"/>
      <c r="F35" s="5"/>
      <c r="G35" s="19"/>
      <c r="H35" s="76"/>
      <c r="I35" s="19"/>
      <c r="J35" s="14"/>
      <c r="K35" s="5"/>
    </row>
    <row r="36" spans="1:11">
      <c r="A36" s="192"/>
      <c r="B36" s="170"/>
      <c r="C36" s="19"/>
      <c r="D36" s="5"/>
      <c r="E36" s="5"/>
      <c r="F36" s="5"/>
      <c r="G36" s="20"/>
      <c r="H36" s="76"/>
      <c r="I36" s="19"/>
      <c r="J36" s="14"/>
      <c r="K36" s="5"/>
    </row>
    <row r="37" spans="1:11" ht="15.75">
      <c r="A37" s="25">
        <v>2.11</v>
      </c>
      <c r="B37" s="285" t="s">
        <v>439</v>
      </c>
      <c r="C37" s="19" t="s">
        <v>37</v>
      </c>
      <c r="D37" s="5"/>
      <c r="E37" s="5"/>
      <c r="F37" s="5"/>
      <c r="G37" s="20"/>
      <c r="H37" s="76"/>
      <c r="I37" s="261">
        <f>I29/F29</f>
        <v>8.5</v>
      </c>
      <c r="J37" s="14">
        <v>150</v>
      </c>
      <c r="K37" s="5">
        <f>I37*J37</f>
        <v>1275</v>
      </c>
    </row>
    <row r="38" spans="1:11">
      <c r="A38" s="192"/>
      <c r="B38" s="173"/>
      <c r="C38" s="19"/>
      <c r="D38" s="5"/>
      <c r="E38" s="5"/>
      <c r="F38" s="5"/>
      <c r="G38" s="20"/>
      <c r="H38" s="76"/>
      <c r="I38" s="19"/>
      <c r="J38" s="14"/>
      <c r="K38" s="5"/>
    </row>
    <row r="39" spans="1:11">
      <c r="A39" s="190">
        <v>2.2000000000000002</v>
      </c>
      <c r="B39" s="2" t="s">
        <v>48</v>
      </c>
      <c r="C39" s="19"/>
      <c r="D39" s="19"/>
      <c r="E39" s="19"/>
      <c r="F39" s="19"/>
      <c r="G39" s="19"/>
      <c r="H39" s="76"/>
      <c r="I39" s="19"/>
      <c r="J39" s="14"/>
      <c r="K39" s="5"/>
    </row>
    <row r="40" spans="1:11" ht="15">
      <c r="A40" s="190"/>
      <c r="B40" s="23"/>
      <c r="C40" s="19"/>
      <c r="D40" s="19"/>
      <c r="E40" s="19"/>
      <c r="F40" s="19"/>
      <c r="G40" s="19"/>
      <c r="H40" s="76"/>
      <c r="I40" s="19"/>
      <c r="J40" s="14"/>
      <c r="K40" s="5"/>
    </row>
    <row r="41" spans="1:11" s="11" customFormat="1" ht="25.5">
      <c r="A41" s="122">
        <v>2.21</v>
      </c>
      <c r="B41" s="129" t="s">
        <v>198</v>
      </c>
      <c r="C41" s="19" t="s">
        <v>12</v>
      </c>
      <c r="D41" s="19">
        <f>D4</f>
        <v>3</v>
      </c>
      <c r="E41" s="19">
        <f>F4</f>
        <v>2.2000000000000002</v>
      </c>
      <c r="F41" s="19">
        <v>0.2</v>
      </c>
      <c r="G41" s="11">
        <v>0.6</v>
      </c>
      <c r="H41" s="76" t="s">
        <v>263</v>
      </c>
      <c r="I41" s="19">
        <f>2*((D41*F41*G41)+(E41*F41*G41))</f>
        <v>1.2480000000000002</v>
      </c>
      <c r="J41" s="14">
        <v>13970</v>
      </c>
      <c r="K41" s="5">
        <f>I41*J41</f>
        <v>17434.560000000001</v>
      </c>
    </row>
    <row r="42" spans="1:11">
      <c r="A42" s="194"/>
      <c r="B42" s="281"/>
      <c r="C42" s="19"/>
      <c r="D42" s="19"/>
      <c r="F42" s="19"/>
      <c r="G42" s="19"/>
      <c r="H42" s="76"/>
      <c r="I42" s="19"/>
      <c r="J42" s="14"/>
      <c r="K42" s="5"/>
    </row>
    <row r="43" spans="1:11" ht="42" customHeight="1">
      <c r="A43" s="194">
        <v>2.2200000000000002</v>
      </c>
      <c r="B43" s="21" t="s">
        <v>455</v>
      </c>
      <c r="C43" s="19" t="s">
        <v>13</v>
      </c>
      <c r="D43" s="19">
        <f>D4</f>
        <v>3</v>
      </c>
      <c r="E43" s="19">
        <f>E4</f>
        <v>2.5</v>
      </c>
      <c r="F43" s="19"/>
      <c r="G43" s="19"/>
      <c r="H43" s="76" t="s">
        <v>320</v>
      </c>
      <c r="I43" s="19">
        <f>I37/F41</f>
        <v>42.5</v>
      </c>
      <c r="J43" s="14">
        <v>495</v>
      </c>
      <c r="K43" s="5">
        <f>I43*J43</f>
        <v>21037.5</v>
      </c>
    </row>
    <row r="44" spans="1:11">
      <c r="A44" s="194"/>
      <c r="B44" s="21"/>
      <c r="C44" s="19"/>
      <c r="D44" s="19"/>
      <c r="E44" s="19"/>
      <c r="F44" s="19"/>
      <c r="G44" s="19"/>
      <c r="H44" s="76"/>
      <c r="I44" s="19"/>
      <c r="J44" s="14"/>
      <c r="K44" s="5"/>
    </row>
    <row r="45" spans="1:11" ht="54" customHeight="1">
      <c r="A45" s="194">
        <v>2.23</v>
      </c>
      <c r="B45" s="21" t="s">
        <v>456</v>
      </c>
      <c r="C45" s="19" t="s">
        <v>12</v>
      </c>
      <c r="D45" s="19">
        <f>D43</f>
        <v>3</v>
      </c>
      <c r="E45" s="19">
        <f>E43</f>
        <v>2.5</v>
      </c>
      <c r="F45" s="19">
        <v>0.15</v>
      </c>
      <c r="G45" s="19"/>
      <c r="H45" s="76" t="s">
        <v>264</v>
      </c>
      <c r="I45" s="19">
        <f>D45*E45*F45</f>
        <v>1.125</v>
      </c>
      <c r="J45" s="14">
        <v>13970</v>
      </c>
      <c r="K45" s="5">
        <f>I45*J45</f>
        <v>15716.25</v>
      </c>
    </row>
    <row r="46" spans="1:11" ht="17.25" customHeight="1">
      <c r="A46" s="194"/>
      <c r="B46" s="21"/>
      <c r="C46" s="19"/>
      <c r="D46" s="19"/>
      <c r="E46" s="19"/>
      <c r="F46" s="19"/>
      <c r="G46" s="19"/>
      <c r="H46" s="76"/>
      <c r="I46" s="19"/>
      <c r="J46" s="14"/>
      <c r="K46" s="5"/>
    </row>
    <row r="47" spans="1:11" ht="54" customHeight="1">
      <c r="A47" s="194">
        <v>2.2400000000000002</v>
      </c>
      <c r="B47" s="21" t="s">
        <v>457</v>
      </c>
      <c r="C47" s="19" t="s">
        <v>12</v>
      </c>
      <c r="D47" s="19">
        <v>1</v>
      </c>
      <c r="E47" s="19">
        <v>1.5</v>
      </c>
      <c r="F47" s="19">
        <v>0.15</v>
      </c>
      <c r="G47" s="19"/>
      <c r="H47" s="76"/>
      <c r="I47" s="19">
        <f>D47*E47*F47</f>
        <v>0.22499999999999998</v>
      </c>
      <c r="J47" s="14">
        <v>13970</v>
      </c>
      <c r="K47" s="5">
        <f>I47*J47</f>
        <v>3143.2499999999995</v>
      </c>
    </row>
    <row r="48" spans="1:11" ht="12" customHeight="1">
      <c r="A48" s="194"/>
      <c r="B48" s="21"/>
      <c r="C48" s="19"/>
      <c r="D48" s="19"/>
      <c r="E48" s="19"/>
      <c r="F48" s="19"/>
      <c r="G48" s="19"/>
      <c r="H48" s="76"/>
      <c r="I48" s="19"/>
      <c r="J48" s="14"/>
      <c r="K48" s="5"/>
    </row>
    <row r="49" spans="1:11" ht="44.25" customHeight="1">
      <c r="A49" s="194">
        <v>2.25</v>
      </c>
      <c r="B49" s="21" t="s">
        <v>458</v>
      </c>
      <c r="C49" s="19" t="s">
        <v>12</v>
      </c>
      <c r="D49" s="19">
        <v>1.23</v>
      </c>
      <c r="E49" s="19">
        <v>1.35</v>
      </c>
      <c r="F49" s="19">
        <v>7.4999999999999997E-2</v>
      </c>
      <c r="G49" s="19"/>
      <c r="H49" s="76"/>
      <c r="I49" s="19">
        <f>2*D49*E49*F49</f>
        <v>0.24907499999999999</v>
      </c>
      <c r="J49" s="14">
        <v>13970</v>
      </c>
      <c r="K49" s="5">
        <f>I49*J49</f>
        <v>3479.5777499999999</v>
      </c>
    </row>
    <row r="50" spans="1:11" ht="17.25" customHeight="1">
      <c r="A50" s="194"/>
      <c r="B50" s="21"/>
      <c r="C50" s="19"/>
      <c r="D50" s="19"/>
      <c r="E50" s="19"/>
      <c r="F50" s="19"/>
      <c r="G50" s="19"/>
      <c r="H50" s="76"/>
      <c r="I50" s="19"/>
      <c r="J50" s="14"/>
      <c r="K50" s="5"/>
    </row>
    <row r="51" spans="1:11">
      <c r="A51" s="192">
        <v>2.2999999999999998</v>
      </c>
      <c r="B51" s="171" t="s">
        <v>82</v>
      </c>
      <c r="C51" s="19"/>
      <c r="D51" s="19"/>
      <c r="E51" s="19"/>
      <c r="F51" s="19"/>
      <c r="G51" s="19"/>
      <c r="H51" s="76"/>
      <c r="I51" s="19"/>
      <c r="J51" s="14"/>
      <c r="K51" s="5"/>
    </row>
    <row r="52" spans="1:11">
      <c r="A52" s="192"/>
      <c r="B52" s="171"/>
      <c r="C52" s="19"/>
      <c r="D52" s="19"/>
      <c r="E52" s="19"/>
      <c r="F52" s="19"/>
      <c r="G52" s="19"/>
      <c r="H52" s="76"/>
      <c r="I52" s="19"/>
      <c r="J52" s="14"/>
      <c r="K52" s="5"/>
    </row>
    <row r="53" spans="1:11" ht="69" customHeight="1">
      <c r="A53" s="194">
        <v>2.31</v>
      </c>
      <c r="B53" s="170" t="s">
        <v>464</v>
      </c>
      <c r="C53" s="19" t="s">
        <v>37</v>
      </c>
      <c r="D53" s="19"/>
      <c r="E53" s="19"/>
      <c r="F53" s="19"/>
      <c r="G53" s="19"/>
      <c r="H53" s="76" t="s">
        <v>433</v>
      </c>
      <c r="I53" s="19">
        <f>(I45/F45)+(D47*E47)+(2*D49*E49)</f>
        <v>12.321</v>
      </c>
      <c r="J53" s="14">
        <v>450</v>
      </c>
      <c r="K53" s="5">
        <f>I53*J53</f>
        <v>5544.45</v>
      </c>
    </row>
    <row r="54" spans="1:11">
      <c r="A54" s="194"/>
      <c r="B54" s="170"/>
      <c r="C54" s="19"/>
      <c r="D54" s="19"/>
      <c r="E54" s="19"/>
      <c r="F54" s="19"/>
      <c r="G54" s="19"/>
      <c r="H54" s="76"/>
      <c r="I54" s="19"/>
      <c r="J54" s="14"/>
      <c r="K54" s="5"/>
    </row>
    <row r="55" spans="1:11">
      <c r="A55" s="192">
        <v>2.4</v>
      </c>
      <c r="B55" s="171" t="s">
        <v>39</v>
      </c>
      <c r="C55" s="19"/>
      <c r="D55" s="19"/>
      <c r="E55" s="19"/>
      <c r="F55" s="19"/>
      <c r="G55" s="19"/>
      <c r="H55" s="76"/>
      <c r="I55" s="19"/>
      <c r="J55" s="14"/>
      <c r="K55" s="5"/>
    </row>
    <row r="56" spans="1:11">
      <c r="A56" s="194"/>
      <c r="B56" s="172"/>
      <c r="C56" s="19"/>
      <c r="D56" s="19"/>
      <c r="E56" s="19"/>
      <c r="F56" s="19"/>
      <c r="G56" s="19"/>
      <c r="H56" s="76"/>
      <c r="I56" s="19"/>
      <c r="J56" s="14"/>
      <c r="K56" s="5"/>
    </row>
    <row r="57" spans="1:11" ht="25.5">
      <c r="A57" s="194"/>
      <c r="B57" s="170" t="s">
        <v>355</v>
      </c>
      <c r="C57" s="19"/>
      <c r="D57" s="19"/>
      <c r="E57" s="19"/>
      <c r="F57" s="19"/>
      <c r="G57" s="19"/>
      <c r="H57" s="76"/>
      <c r="I57" s="19"/>
      <c r="J57" s="14"/>
      <c r="K57" s="5"/>
    </row>
    <row r="58" spans="1:11">
      <c r="A58" s="194"/>
      <c r="B58" s="170"/>
      <c r="C58" s="19"/>
      <c r="D58" s="19"/>
      <c r="E58" s="19"/>
      <c r="F58" s="19"/>
      <c r="G58" s="19"/>
      <c r="H58" s="76"/>
      <c r="I58" s="19"/>
      <c r="J58" s="14"/>
      <c r="K58" s="5"/>
    </row>
    <row r="59" spans="1:11">
      <c r="A59" s="194">
        <v>2.41</v>
      </c>
      <c r="B59" s="170" t="s">
        <v>121</v>
      </c>
      <c r="C59" s="19" t="s">
        <v>3</v>
      </c>
      <c r="D59" s="19">
        <f>D45</f>
        <v>3</v>
      </c>
      <c r="E59" s="19">
        <f>E45</f>
        <v>2.5</v>
      </c>
      <c r="F59" s="19"/>
      <c r="G59" s="19"/>
      <c r="H59" s="76"/>
      <c r="I59" s="19">
        <f>(D59*2)+(E59*2)</f>
        <v>11</v>
      </c>
      <c r="J59" s="14">
        <v>250</v>
      </c>
      <c r="K59" s="5">
        <f>I59*J59</f>
        <v>2750</v>
      </c>
    </row>
    <row r="60" spans="1:11">
      <c r="A60" s="194"/>
      <c r="B60" s="170"/>
      <c r="C60" s="19"/>
      <c r="D60" s="19"/>
      <c r="E60" s="19"/>
      <c r="F60" s="19"/>
      <c r="G60" s="19"/>
      <c r="H60" s="76"/>
      <c r="I60" s="19"/>
      <c r="J60" s="14"/>
      <c r="K60" s="5"/>
    </row>
    <row r="61" spans="1:11">
      <c r="A61" s="194">
        <v>2.42</v>
      </c>
      <c r="B61" s="170" t="s">
        <v>321</v>
      </c>
      <c r="C61" s="19" t="s">
        <v>3</v>
      </c>
      <c r="D61" s="19">
        <f>D47</f>
        <v>1</v>
      </c>
      <c r="E61" s="19">
        <f>E47</f>
        <v>1.5</v>
      </c>
      <c r="F61" s="19"/>
      <c r="G61" s="19"/>
      <c r="H61" s="76"/>
      <c r="I61" s="19">
        <f>(D61*2)+(E61*2)</f>
        <v>5</v>
      </c>
      <c r="J61" s="14">
        <v>250</v>
      </c>
      <c r="K61" s="5">
        <f>I61*J61</f>
        <v>1250</v>
      </c>
    </row>
    <row r="62" spans="1:11">
      <c r="A62" s="194"/>
      <c r="B62" s="170"/>
      <c r="C62" s="19"/>
      <c r="D62" s="19"/>
      <c r="E62" s="19"/>
      <c r="F62" s="19"/>
      <c r="G62" s="19"/>
      <c r="H62" s="76"/>
      <c r="I62" s="19"/>
      <c r="J62" s="14"/>
      <c r="K62" s="5"/>
    </row>
    <row r="63" spans="1:11" ht="15.75">
      <c r="A63" s="194">
        <v>2.4300000000000002</v>
      </c>
      <c r="B63" s="170" t="s">
        <v>434</v>
      </c>
      <c r="C63" s="19" t="s">
        <v>37</v>
      </c>
      <c r="D63" s="19"/>
      <c r="E63" s="19"/>
      <c r="F63" s="19"/>
      <c r="G63" s="19"/>
      <c r="H63" s="76"/>
      <c r="I63" s="19">
        <f>2*D49*E49</f>
        <v>3.3210000000000002</v>
      </c>
      <c r="J63" s="14">
        <v>500</v>
      </c>
      <c r="K63" s="5">
        <f>I63*J63</f>
        <v>1660.5</v>
      </c>
    </row>
    <row r="64" spans="1:11">
      <c r="A64" s="194"/>
      <c r="B64" s="170"/>
      <c r="C64" s="19"/>
      <c r="D64" s="19"/>
      <c r="E64" s="19"/>
      <c r="F64" s="19"/>
      <c r="G64" s="19"/>
      <c r="H64" s="76"/>
      <c r="I64" s="19"/>
      <c r="J64" s="14"/>
      <c r="K64" s="5"/>
    </row>
    <row r="65" spans="1:11" s="11" customFormat="1">
      <c r="A65" s="119">
        <v>2.5</v>
      </c>
      <c r="B65" s="136" t="s">
        <v>118</v>
      </c>
      <c r="C65" s="19"/>
      <c r="D65" s="19"/>
      <c r="E65" s="19"/>
      <c r="F65" s="19"/>
      <c r="G65" s="19"/>
      <c r="H65" s="76"/>
      <c r="I65" s="19"/>
      <c r="J65" s="14"/>
      <c r="K65" s="5"/>
    </row>
    <row r="66" spans="1:11" s="11" customFormat="1">
      <c r="A66" s="119"/>
      <c r="B66" s="136"/>
      <c r="C66" s="19"/>
      <c r="D66" s="19"/>
      <c r="E66" s="19"/>
      <c r="F66" s="19"/>
      <c r="G66" s="19"/>
      <c r="H66" s="76"/>
      <c r="I66" s="19"/>
      <c r="J66" s="14"/>
      <c r="K66" s="5"/>
    </row>
    <row r="67" spans="1:11" s="11" customFormat="1" ht="39.75" customHeight="1">
      <c r="A67" s="122">
        <v>2.5099999999999998</v>
      </c>
      <c r="B67" s="249" t="s">
        <v>322</v>
      </c>
      <c r="C67" s="19" t="s">
        <v>37</v>
      </c>
      <c r="D67" s="19">
        <f>D45</f>
        <v>3</v>
      </c>
      <c r="E67" s="19">
        <f>E4</f>
        <v>2.5</v>
      </c>
      <c r="F67" s="19"/>
      <c r="G67" s="19"/>
      <c r="H67" s="76"/>
      <c r="I67" s="19">
        <f>D67*E67</f>
        <v>7.5</v>
      </c>
      <c r="J67" s="14">
        <v>320</v>
      </c>
      <c r="K67" s="5">
        <f>I67*J67</f>
        <v>2400</v>
      </c>
    </row>
    <row r="68" spans="1:11" s="11" customFormat="1">
      <c r="A68" s="122"/>
      <c r="B68" s="249"/>
      <c r="C68" s="19"/>
      <c r="D68" s="19"/>
      <c r="E68" s="19"/>
      <c r="F68" s="19"/>
      <c r="G68" s="19"/>
      <c r="H68" s="76"/>
      <c r="I68" s="19"/>
      <c r="J68" s="14"/>
      <c r="K68" s="5"/>
    </row>
    <row r="69" spans="1:11" s="154" customFormat="1" ht="15">
      <c r="A69" s="509" t="s">
        <v>102</v>
      </c>
      <c r="B69" s="510"/>
      <c r="C69" s="510"/>
      <c r="D69" s="510"/>
      <c r="E69" s="510"/>
      <c r="F69" s="510"/>
      <c r="G69" s="510"/>
      <c r="H69" s="510"/>
      <c r="I69" s="510"/>
      <c r="J69" s="511"/>
      <c r="K69" s="388">
        <f>SUM(K32:K68)</f>
        <v>75691.087749999992</v>
      </c>
    </row>
    <row r="70" spans="1:11" s="11" customFormat="1">
      <c r="A70" s="119"/>
      <c r="B70" s="120"/>
      <c r="C70" s="112"/>
      <c r="D70" s="113"/>
      <c r="E70" s="113"/>
      <c r="F70" s="113"/>
      <c r="G70" s="113"/>
      <c r="H70" s="166"/>
      <c r="I70" s="112"/>
      <c r="J70" s="117"/>
      <c r="K70" s="118"/>
    </row>
    <row r="71" spans="1:11">
      <c r="A71" s="192">
        <v>3</v>
      </c>
      <c r="B71" s="243" t="s">
        <v>323</v>
      </c>
      <c r="C71" s="79"/>
      <c r="D71" s="20"/>
      <c r="E71" s="20"/>
      <c r="F71" s="20"/>
      <c r="G71" s="20"/>
      <c r="H71" s="76"/>
      <c r="I71" s="20"/>
      <c r="J71" s="20"/>
      <c r="K71" s="5"/>
    </row>
    <row r="72" spans="1:11">
      <c r="A72" s="192"/>
      <c r="B72" s="170"/>
      <c r="C72" s="19"/>
      <c r="D72" s="19"/>
      <c r="E72" s="19"/>
      <c r="F72" s="19"/>
      <c r="G72" s="19"/>
      <c r="H72" s="76"/>
      <c r="I72" s="19"/>
      <c r="J72" s="14"/>
      <c r="K72" s="5"/>
    </row>
    <row r="73" spans="1:11" ht="80.25" customHeight="1">
      <c r="A73" s="194">
        <v>3.1</v>
      </c>
      <c r="B73" s="170" t="s">
        <v>324</v>
      </c>
      <c r="C73" s="19" t="s">
        <v>279</v>
      </c>
      <c r="D73" s="19"/>
      <c r="E73" s="19"/>
      <c r="F73" s="19"/>
      <c r="G73" s="19"/>
      <c r="H73" s="76"/>
      <c r="I73" s="19" t="s">
        <v>124</v>
      </c>
      <c r="J73" s="14">
        <v>80000</v>
      </c>
      <c r="K73" s="5">
        <f>J73</f>
        <v>80000</v>
      </c>
    </row>
    <row r="74" spans="1:11">
      <c r="A74" s="192"/>
      <c r="B74" s="170"/>
      <c r="C74" s="19"/>
      <c r="D74" s="19"/>
      <c r="E74" s="19"/>
      <c r="F74" s="19"/>
      <c r="G74" s="19"/>
      <c r="H74" s="76"/>
      <c r="I74" s="19"/>
      <c r="J74" s="14"/>
      <c r="K74" s="5"/>
    </row>
    <row r="75" spans="1:11" s="154" customFormat="1" ht="15">
      <c r="A75" s="487" t="s">
        <v>103</v>
      </c>
      <c r="B75" s="488"/>
      <c r="C75" s="488"/>
      <c r="D75" s="488"/>
      <c r="E75" s="488"/>
      <c r="F75" s="488"/>
      <c r="G75" s="488"/>
      <c r="H75" s="488"/>
      <c r="I75" s="488"/>
      <c r="J75" s="489"/>
      <c r="K75" s="388">
        <f>SUM(K70:K74)</f>
        <v>80000</v>
      </c>
    </row>
    <row r="76" spans="1:11" s="11" customFormat="1">
      <c r="A76" s="119"/>
      <c r="B76" s="120"/>
      <c r="C76" s="112"/>
      <c r="D76" s="113"/>
      <c r="E76" s="113"/>
      <c r="F76" s="113"/>
      <c r="G76" s="113"/>
      <c r="H76" s="166"/>
      <c r="I76" s="112"/>
      <c r="J76" s="117"/>
      <c r="K76" s="118"/>
    </row>
    <row r="77" spans="1:11">
      <c r="A77" s="192">
        <v>4</v>
      </c>
      <c r="B77" s="243" t="s">
        <v>42</v>
      </c>
      <c r="C77" s="79"/>
      <c r="D77" s="20"/>
      <c r="E77" s="20"/>
      <c r="F77" s="20"/>
      <c r="G77" s="20"/>
      <c r="H77" s="76"/>
      <c r="I77" s="20"/>
      <c r="J77" s="20"/>
      <c r="K77" s="5"/>
    </row>
    <row r="78" spans="1:11">
      <c r="A78" s="192"/>
      <c r="B78" s="170"/>
      <c r="C78" s="19"/>
      <c r="D78" s="19"/>
      <c r="E78" s="19"/>
      <c r="F78" s="19"/>
      <c r="G78" s="19"/>
      <c r="H78" s="76"/>
      <c r="I78" s="19"/>
      <c r="J78" s="14"/>
      <c r="K78" s="5"/>
    </row>
    <row r="79" spans="1:11">
      <c r="A79" s="119">
        <v>4.0999999999999996</v>
      </c>
      <c r="B79" s="136" t="s">
        <v>188</v>
      </c>
      <c r="C79" s="19"/>
      <c r="D79" s="19"/>
      <c r="E79" s="19"/>
      <c r="F79" s="19"/>
      <c r="G79" s="19"/>
      <c r="H79" s="76"/>
      <c r="I79" s="19"/>
      <c r="J79" s="14"/>
      <c r="K79" s="5"/>
    </row>
    <row r="80" spans="1:11">
      <c r="A80" s="192"/>
      <c r="B80" s="170"/>
      <c r="C80" s="19"/>
      <c r="D80" s="19"/>
      <c r="E80" s="19"/>
      <c r="F80" s="19"/>
      <c r="G80" s="19"/>
      <c r="H80" s="76"/>
      <c r="I80" s="19"/>
      <c r="J80" s="14"/>
      <c r="K80" s="5"/>
    </row>
    <row r="81" spans="1:11" ht="38.25">
      <c r="A81" s="192"/>
      <c r="B81" s="170" t="s">
        <v>259</v>
      </c>
      <c r="C81" s="19"/>
      <c r="D81" s="19"/>
      <c r="E81" s="19"/>
      <c r="F81" s="19"/>
      <c r="G81" s="19"/>
      <c r="H81" s="76"/>
      <c r="I81" s="19"/>
      <c r="J81" s="14"/>
      <c r="K81" s="5"/>
    </row>
    <row r="82" spans="1:11">
      <c r="A82" s="192"/>
      <c r="B82" s="170"/>
      <c r="C82" s="19"/>
      <c r="D82" s="19"/>
      <c r="E82" s="19"/>
      <c r="F82" s="19"/>
      <c r="G82" s="19"/>
      <c r="H82" s="76"/>
      <c r="I82" s="19"/>
      <c r="J82" s="14"/>
      <c r="K82" s="5"/>
    </row>
    <row r="83" spans="1:11" ht="15.75">
      <c r="A83" s="194">
        <v>4.1100000000000003</v>
      </c>
      <c r="B83" s="170" t="s">
        <v>41</v>
      </c>
      <c r="C83" s="19" t="s">
        <v>37</v>
      </c>
      <c r="D83" s="338">
        <f>D4</f>
        <v>3</v>
      </c>
      <c r="E83" s="8">
        <f>E4</f>
        <v>2.5</v>
      </c>
      <c r="F83" s="339">
        <v>1</v>
      </c>
      <c r="G83" s="19"/>
      <c r="H83" s="334"/>
      <c r="I83" s="20">
        <f>(((D83*2)+(E83*2))-D84)*F83</f>
        <v>10.1</v>
      </c>
      <c r="J83" s="14">
        <v>2200</v>
      </c>
      <c r="K83" s="5">
        <f>I83*J83</f>
        <v>22220</v>
      </c>
    </row>
    <row r="84" spans="1:11">
      <c r="A84" s="194"/>
      <c r="B84" s="170"/>
      <c r="C84" s="19"/>
      <c r="D84" s="394">
        <v>0.9</v>
      </c>
      <c r="E84" s="5"/>
      <c r="F84" s="5"/>
      <c r="G84" s="19"/>
      <c r="H84" s="334"/>
      <c r="I84" s="20"/>
      <c r="J84" s="20"/>
      <c r="K84" s="5"/>
    </row>
    <row r="85" spans="1:11" ht="15.75">
      <c r="A85" s="194">
        <v>4.12</v>
      </c>
      <c r="B85" s="170" t="s">
        <v>122</v>
      </c>
      <c r="C85" s="19" t="s">
        <v>37</v>
      </c>
      <c r="D85" s="113">
        <f>D4</f>
        <v>3</v>
      </c>
      <c r="E85" s="113">
        <f>E4</f>
        <v>2.5</v>
      </c>
      <c r="F85" s="68">
        <v>0.5</v>
      </c>
      <c r="G85" s="113"/>
      <c r="H85" s="334"/>
      <c r="I85" s="20">
        <f>((2*D85)+(E85*2))*F85</f>
        <v>5.5</v>
      </c>
      <c r="J85" s="14">
        <v>2200</v>
      </c>
      <c r="K85" s="5">
        <f>I85*J85</f>
        <v>12100</v>
      </c>
    </row>
    <row r="86" spans="1:11">
      <c r="A86" s="284"/>
      <c r="B86" s="281"/>
      <c r="C86" s="19"/>
      <c r="D86" s="27"/>
      <c r="E86" s="5"/>
      <c r="F86" s="5"/>
      <c r="G86" s="20"/>
      <c r="H86" s="76"/>
      <c r="I86" s="19"/>
      <c r="J86" s="14"/>
      <c r="K86" s="5"/>
    </row>
    <row r="87" spans="1:11">
      <c r="A87" s="119">
        <v>4.2</v>
      </c>
      <c r="B87" s="136" t="s">
        <v>445</v>
      </c>
      <c r="C87" s="19"/>
      <c r="D87" s="394"/>
      <c r="E87" s="5"/>
      <c r="F87" s="5"/>
      <c r="G87" s="19"/>
      <c r="H87" s="76"/>
      <c r="I87" s="19"/>
      <c r="J87" s="14"/>
      <c r="K87" s="5"/>
    </row>
    <row r="88" spans="1:11">
      <c r="A88" s="192"/>
      <c r="B88" s="175"/>
      <c r="C88" s="19"/>
      <c r="D88" s="113"/>
      <c r="E88" s="113"/>
      <c r="G88" s="113"/>
      <c r="H88" s="76"/>
      <c r="I88" s="19"/>
      <c r="J88" s="14"/>
      <c r="K88" s="5"/>
    </row>
    <row r="89" spans="1:11" ht="15.75">
      <c r="A89" s="194">
        <v>4.21</v>
      </c>
      <c r="B89" s="286" t="s">
        <v>207</v>
      </c>
      <c r="C89" s="19" t="s">
        <v>37</v>
      </c>
      <c r="D89" s="394"/>
      <c r="E89" s="5"/>
      <c r="F89" s="5"/>
      <c r="G89" s="19"/>
      <c r="H89" s="334" t="s">
        <v>123</v>
      </c>
      <c r="I89" s="19">
        <f>I83*2</f>
        <v>20.2</v>
      </c>
      <c r="J89" s="14">
        <v>320</v>
      </c>
      <c r="K89" s="5">
        <f>I89*J89</f>
        <v>6464</v>
      </c>
    </row>
    <row r="90" spans="1:11">
      <c r="A90" s="122"/>
      <c r="B90" s="165"/>
      <c r="C90" s="112"/>
      <c r="D90" s="26"/>
      <c r="E90" s="5"/>
      <c r="F90" s="5"/>
      <c r="G90" s="19"/>
      <c r="H90" s="336"/>
      <c r="I90" s="124"/>
      <c r="J90" s="117"/>
      <c r="K90" s="118"/>
    </row>
    <row r="91" spans="1:11" s="154" customFormat="1" ht="15">
      <c r="A91" s="487" t="s">
        <v>104</v>
      </c>
      <c r="B91" s="488"/>
      <c r="C91" s="488"/>
      <c r="D91" s="488"/>
      <c r="E91" s="488"/>
      <c r="F91" s="488"/>
      <c r="G91" s="488"/>
      <c r="H91" s="488"/>
      <c r="I91" s="488"/>
      <c r="J91" s="489"/>
      <c r="K91" s="388">
        <f>SUM(K76:K90)</f>
        <v>40784</v>
      </c>
    </row>
    <row r="92" spans="1:11" s="11" customFormat="1">
      <c r="A92" s="119"/>
      <c r="B92" s="120"/>
      <c r="C92" s="112"/>
      <c r="D92" s="113"/>
      <c r="E92" s="113"/>
      <c r="F92" s="113"/>
      <c r="G92" s="113"/>
      <c r="H92" s="166"/>
      <c r="I92" s="112"/>
      <c r="J92" s="117"/>
      <c r="K92" s="118"/>
    </row>
    <row r="93" spans="1:11">
      <c r="A93" s="192">
        <v>5</v>
      </c>
      <c r="B93" s="136" t="s">
        <v>14</v>
      </c>
      <c r="C93" s="82"/>
      <c r="D93" s="5"/>
      <c r="E93" s="5"/>
      <c r="F93" s="5"/>
      <c r="G93" s="19"/>
      <c r="H93" s="76"/>
      <c r="I93" s="19"/>
      <c r="J93" s="14"/>
      <c r="K93" s="5"/>
    </row>
    <row r="94" spans="1:11">
      <c r="A94" s="192"/>
      <c r="B94" s="178"/>
      <c r="C94" s="83"/>
      <c r="D94" s="6"/>
      <c r="E94" s="5"/>
      <c r="F94" s="5"/>
      <c r="G94" s="19"/>
      <c r="H94" s="76"/>
      <c r="I94" s="19"/>
      <c r="J94" s="14"/>
      <c r="K94" s="5"/>
    </row>
    <row r="95" spans="1:11">
      <c r="A95" s="192"/>
      <c r="B95" s="175" t="s">
        <v>93</v>
      </c>
      <c r="C95" s="83"/>
      <c r="D95" s="6"/>
      <c r="E95" s="5"/>
      <c r="F95" s="5"/>
      <c r="G95" s="19"/>
      <c r="H95" s="76"/>
      <c r="I95" s="19"/>
      <c r="J95" s="14"/>
      <c r="K95" s="5"/>
    </row>
    <row r="96" spans="1:11">
      <c r="A96" s="192"/>
      <c r="B96" s="175"/>
      <c r="C96" s="83"/>
      <c r="D96" s="6"/>
      <c r="E96" s="5"/>
      <c r="F96" s="5"/>
      <c r="G96" s="19"/>
      <c r="H96" s="76"/>
      <c r="I96" s="19"/>
      <c r="J96" s="14"/>
      <c r="K96" s="5"/>
    </row>
    <row r="97" spans="1:11">
      <c r="A97" s="119">
        <v>5.0999999999999996</v>
      </c>
      <c r="B97" s="136" t="s">
        <v>85</v>
      </c>
      <c r="C97" s="83"/>
      <c r="D97" s="6"/>
      <c r="E97" s="5"/>
      <c r="F97" s="5"/>
      <c r="G97" s="19"/>
      <c r="H97" s="76"/>
      <c r="I97" s="19"/>
      <c r="J97" s="14"/>
      <c r="K97" s="5"/>
    </row>
    <row r="98" spans="1:11">
      <c r="A98" s="192"/>
      <c r="B98" s="182"/>
      <c r="C98" s="83"/>
      <c r="D98" s="6"/>
      <c r="E98" s="5"/>
      <c r="F98" s="5"/>
      <c r="G98" s="19"/>
      <c r="H98" s="76"/>
      <c r="I98" s="19"/>
      <c r="J98" s="14"/>
      <c r="K98" s="5"/>
    </row>
    <row r="99" spans="1:11" ht="25.5">
      <c r="A99" s="194">
        <v>5.1100000000000003</v>
      </c>
      <c r="B99" s="288" t="s">
        <v>268</v>
      </c>
      <c r="C99" s="16" t="s">
        <v>3</v>
      </c>
      <c r="D99" s="338">
        <v>4</v>
      </c>
      <c r="E99" s="339"/>
      <c r="F99" s="5"/>
      <c r="G99" s="20"/>
      <c r="H99" s="76" t="s">
        <v>94</v>
      </c>
      <c r="I99" s="384">
        <f>D99*2</f>
        <v>8</v>
      </c>
      <c r="J99" s="304">
        <v>1000</v>
      </c>
      <c r="K99" s="5">
        <f>I99*J99</f>
        <v>8000</v>
      </c>
    </row>
    <row r="100" spans="1:11">
      <c r="A100" s="194"/>
      <c r="B100" s="183"/>
      <c r="C100" s="16"/>
      <c r="D100" s="338"/>
      <c r="E100" s="339"/>
      <c r="F100" s="5"/>
      <c r="G100" s="20"/>
      <c r="H100" s="76"/>
      <c r="I100" s="20"/>
      <c r="J100" s="20"/>
      <c r="K100" s="5"/>
    </row>
    <row r="101" spans="1:11">
      <c r="A101" s="194">
        <v>5.12</v>
      </c>
      <c r="B101" s="181" t="s">
        <v>269</v>
      </c>
      <c r="C101" s="289" t="s">
        <v>3</v>
      </c>
      <c r="D101" s="338">
        <v>2.5</v>
      </c>
      <c r="E101" s="339"/>
      <c r="F101" s="5"/>
      <c r="G101" s="20"/>
      <c r="H101" s="334"/>
      <c r="I101" s="384">
        <f>D101*2</f>
        <v>5</v>
      </c>
      <c r="J101" s="304">
        <v>350</v>
      </c>
      <c r="K101" s="5">
        <f>I101*J101</f>
        <v>1750</v>
      </c>
    </row>
    <row r="102" spans="1:11">
      <c r="A102" s="194"/>
      <c r="B102" s="288"/>
      <c r="C102" s="16"/>
      <c r="D102" s="338"/>
      <c r="E102" s="339"/>
      <c r="F102" s="280"/>
      <c r="G102" s="290"/>
      <c r="H102" s="337"/>
      <c r="I102" s="290"/>
      <c r="J102" s="290"/>
      <c r="K102" s="280"/>
    </row>
    <row r="103" spans="1:11" s="154" customFormat="1" ht="15">
      <c r="A103" s="487" t="s">
        <v>105</v>
      </c>
      <c r="B103" s="488"/>
      <c r="C103" s="488"/>
      <c r="D103" s="488"/>
      <c r="E103" s="488"/>
      <c r="F103" s="488"/>
      <c r="G103" s="488"/>
      <c r="H103" s="488"/>
      <c r="I103" s="488"/>
      <c r="J103" s="489"/>
      <c r="K103" s="388">
        <f>SUM(K92:K102)</f>
        <v>9750</v>
      </c>
    </row>
    <row r="104" spans="1:11" s="11" customFormat="1">
      <c r="A104" s="119"/>
      <c r="B104" s="120"/>
      <c r="C104" s="112" t="s">
        <v>58</v>
      </c>
      <c r="D104" s="113"/>
      <c r="E104" s="113"/>
      <c r="F104" s="113"/>
      <c r="G104" s="113"/>
      <c r="H104" s="166"/>
      <c r="I104" s="112"/>
      <c r="J104" s="117"/>
      <c r="K104" s="118"/>
    </row>
    <row r="105" spans="1:11">
      <c r="A105" s="192">
        <v>6</v>
      </c>
      <c r="B105" s="171" t="s">
        <v>110</v>
      </c>
      <c r="C105" s="19"/>
      <c r="D105" s="19"/>
      <c r="E105" s="19"/>
      <c r="F105" s="19"/>
      <c r="G105" s="19"/>
      <c r="H105" s="76"/>
      <c r="I105" s="19"/>
      <c r="J105" s="14"/>
      <c r="K105" s="5"/>
    </row>
    <row r="106" spans="1:11">
      <c r="A106" s="192"/>
      <c r="B106" s="177"/>
      <c r="C106" s="19"/>
      <c r="D106" s="19"/>
      <c r="E106" s="19"/>
      <c r="F106" s="19"/>
      <c r="G106" s="19"/>
      <c r="H106" s="76"/>
      <c r="I106" s="19"/>
      <c r="J106" s="14"/>
      <c r="K106" s="5"/>
    </row>
    <row r="107" spans="1:11">
      <c r="A107" s="192">
        <v>6.1</v>
      </c>
      <c r="B107" s="136" t="s">
        <v>186</v>
      </c>
      <c r="C107" s="19"/>
      <c r="D107" s="19"/>
      <c r="E107" s="19"/>
      <c r="F107" s="19"/>
      <c r="G107" s="19"/>
      <c r="H107" s="76"/>
      <c r="I107" s="19"/>
      <c r="J107" s="14"/>
      <c r="K107" s="5"/>
    </row>
    <row r="108" spans="1:11">
      <c r="A108" s="192"/>
      <c r="B108" s="262"/>
      <c r="C108" s="19"/>
      <c r="D108" s="19"/>
      <c r="E108" s="19"/>
      <c r="F108" s="19"/>
      <c r="G108" s="19"/>
      <c r="H108" s="76"/>
      <c r="I108" s="19"/>
      <c r="J108" s="14"/>
      <c r="K108" s="5"/>
    </row>
    <row r="109" spans="1:11" ht="54.75" customHeight="1">
      <c r="A109" s="194">
        <v>6.11</v>
      </c>
      <c r="B109" s="291" t="s">
        <v>325</v>
      </c>
      <c r="C109" s="19" t="s">
        <v>11</v>
      </c>
      <c r="D109" s="19"/>
      <c r="E109" s="19"/>
      <c r="F109" s="19"/>
      <c r="G109" s="19"/>
      <c r="H109" s="76"/>
      <c r="I109" s="19">
        <v>6</v>
      </c>
      <c r="J109" s="14">
        <v>3500</v>
      </c>
      <c r="K109" s="5">
        <f>I109*J109</f>
        <v>21000</v>
      </c>
    </row>
    <row r="110" spans="1:11">
      <c r="A110" s="192"/>
      <c r="B110" s="262"/>
      <c r="C110" s="19"/>
      <c r="D110" s="19"/>
      <c r="E110" s="19"/>
      <c r="F110" s="19"/>
      <c r="G110" s="19"/>
      <c r="H110" s="76"/>
      <c r="I110" s="19"/>
      <c r="J110" s="14"/>
      <c r="K110" s="5"/>
    </row>
    <row r="111" spans="1:11">
      <c r="A111" s="192">
        <v>6.2</v>
      </c>
      <c r="B111" s="136" t="s">
        <v>326</v>
      </c>
      <c r="C111" s="19"/>
      <c r="D111" s="19"/>
      <c r="E111" s="19"/>
      <c r="F111" s="19"/>
      <c r="G111" s="19"/>
      <c r="H111" s="76"/>
      <c r="I111" s="19"/>
      <c r="J111" s="14"/>
      <c r="K111" s="5"/>
    </row>
    <row r="112" spans="1:11">
      <c r="A112" s="192"/>
      <c r="B112" s="262"/>
      <c r="C112" s="19"/>
      <c r="D112" s="19"/>
      <c r="E112" s="19"/>
      <c r="F112" s="19"/>
      <c r="G112" s="19"/>
      <c r="H112" s="76"/>
      <c r="I112" s="19"/>
      <c r="J112" s="14"/>
      <c r="K112" s="5"/>
    </row>
    <row r="113" spans="1:11" ht="25.5">
      <c r="A113" s="194">
        <v>6.21</v>
      </c>
      <c r="B113" s="281" t="s">
        <v>327</v>
      </c>
      <c r="C113" s="19" t="s">
        <v>37</v>
      </c>
      <c r="D113" s="19">
        <f>D4</f>
        <v>3</v>
      </c>
      <c r="E113" s="19">
        <f>E4</f>
        <v>2.5</v>
      </c>
      <c r="F113" s="19">
        <v>1.4</v>
      </c>
      <c r="G113" s="19">
        <f>(2.5*0.6)*2</f>
        <v>3</v>
      </c>
      <c r="H113" s="334"/>
      <c r="I113" s="352">
        <f>(((D113*2)+(E113*2))*F113)+G113</f>
        <v>18.399999999999999</v>
      </c>
      <c r="J113" s="14">
        <v>300</v>
      </c>
      <c r="K113" s="5">
        <f>I113*J113</f>
        <v>5520</v>
      </c>
    </row>
    <row r="114" spans="1:11">
      <c r="A114" s="276"/>
      <c r="B114" s="390"/>
      <c r="C114" s="19"/>
      <c r="D114" s="19"/>
      <c r="E114" s="19"/>
      <c r="F114" s="19"/>
      <c r="G114" s="19"/>
      <c r="H114" s="334"/>
      <c r="I114" s="334"/>
      <c r="J114" s="334"/>
      <c r="K114" s="334"/>
    </row>
    <row r="115" spans="1:11">
      <c r="A115" s="192">
        <v>6.3</v>
      </c>
      <c r="B115" s="136" t="s">
        <v>328</v>
      </c>
      <c r="C115" s="19"/>
      <c r="D115" s="19"/>
      <c r="E115" s="19"/>
      <c r="F115" s="19"/>
      <c r="G115" s="19"/>
      <c r="H115" s="334"/>
      <c r="I115" s="334"/>
      <c r="J115" s="334"/>
      <c r="K115" s="334"/>
    </row>
    <row r="116" spans="1:11">
      <c r="A116" s="298"/>
      <c r="B116" s="136"/>
      <c r="C116" s="19"/>
      <c r="D116" s="19"/>
      <c r="E116" s="19"/>
      <c r="F116" s="19"/>
      <c r="G116" s="19"/>
      <c r="H116" s="334"/>
      <c r="I116" s="334"/>
      <c r="J116" s="334"/>
      <c r="K116" s="334"/>
    </row>
    <row r="117" spans="1:11" ht="25.5">
      <c r="A117" s="194">
        <v>6.31</v>
      </c>
      <c r="B117" s="281" t="s">
        <v>329</v>
      </c>
      <c r="C117" s="19" t="s">
        <v>3</v>
      </c>
      <c r="D117" s="19">
        <v>5</v>
      </c>
      <c r="E117" s="19"/>
      <c r="F117" s="19"/>
      <c r="G117" s="19"/>
      <c r="H117" s="334"/>
      <c r="I117" s="274">
        <f>5*4</f>
        <v>20</v>
      </c>
      <c r="J117" s="14">
        <v>350</v>
      </c>
      <c r="K117" s="5">
        <f>I117*J117</f>
        <v>7000</v>
      </c>
    </row>
    <row r="118" spans="1:11">
      <c r="A118" s="298"/>
      <c r="B118" s="390"/>
      <c r="C118" s="19"/>
      <c r="D118" s="19"/>
      <c r="E118" s="19"/>
      <c r="F118" s="19"/>
      <c r="G118" s="19"/>
      <c r="H118" s="334"/>
      <c r="I118" s="274"/>
      <c r="J118" s="334"/>
      <c r="K118" s="334"/>
    </row>
    <row r="119" spans="1:11">
      <c r="A119" s="192">
        <v>6.4</v>
      </c>
      <c r="B119" s="204" t="s">
        <v>284</v>
      </c>
      <c r="C119" s="19"/>
      <c r="D119" s="19"/>
      <c r="E119" s="19"/>
      <c r="F119" s="19"/>
      <c r="G119" s="19"/>
      <c r="H119" s="334"/>
      <c r="I119" s="334"/>
      <c r="J119" s="334"/>
      <c r="K119" s="334"/>
    </row>
    <row r="120" spans="1:11">
      <c r="A120" s="194"/>
      <c r="B120" s="204"/>
      <c r="C120" s="19"/>
      <c r="D120" s="19"/>
      <c r="E120" s="19"/>
      <c r="F120" s="19"/>
      <c r="G120" s="19"/>
      <c r="H120" s="334"/>
      <c r="I120" s="334"/>
      <c r="J120" s="334"/>
      <c r="K120" s="334"/>
    </row>
    <row r="121" spans="1:11" ht="54.75" customHeight="1">
      <c r="A121" s="276"/>
      <c r="B121" s="206" t="s">
        <v>283</v>
      </c>
      <c r="C121" s="19"/>
      <c r="D121" s="19"/>
      <c r="E121" s="19"/>
      <c r="F121" s="19"/>
      <c r="G121" s="19"/>
      <c r="H121" s="334"/>
      <c r="I121" s="334"/>
      <c r="J121" s="334"/>
      <c r="K121" s="334"/>
    </row>
    <row r="122" spans="1:11">
      <c r="A122" s="194"/>
      <c r="B122" s="204"/>
      <c r="C122" s="19"/>
      <c r="D122" s="19"/>
      <c r="E122" s="19"/>
      <c r="F122" s="19"/>
      <c r="G122" s="19"/>
      <c r="H122" s="334"/>
      <c r="I122" s="334"/>
      <c r="J122" s="334"/>
      <c r="K122" s="334"/>
    </row>
    <row r="123" spans="1:11">
      <c r="A123" s="202">
        <v>6.41</v>
      </c>
      <c r="B123" s="294" t="s">
        <v>127</v>
      </c>
      <c r="C123" s="19" t="s">
        <v>11</v>
      </c>
      <c r="D123" s="19"/>
      <c r="E123" s="19"/>
      <c r="F123" s="19"/>
      <c r="G123" s="19"/>
      <c r="H123" s="334"/>
      <c r="I123" s="274">
        <v>1</v>
      </c>
      <c r="J123" s="14">
        <v>10000</v>
      </c>
      <c r="K123" s="5">
        <f>I123*J123</f>
        <v>10000</v>
      </c>
    </row>
    <row r="124" spans="1:11">
      <c r="A124" s="122"/>
      <c r="B124" s="165"/>
      <c r="C124" s="112"/>
      <c r="D124" s="125"/>
      <c r="E124" s="125"/>
      <c r="F124" s="125"/>
      <c r="G124" s="125"/>
      <c r="H124" s="336"/>
      <c r="I124" s="124"/>
      <c r="J124" s="117"/>
      <c r="K124" s="118"/>
    </row>
    <row r="125" spans="1:11" s="154" customFormat="1" ht="15">
      <c r="A125" s="487" t="s">
        <v>106</v>
      </c>
      <c r="B125" s="488"/>
      <c r="C125" s="488"/>
      <c r="D125" s="488"/>
      <c r="E125" s="488"/>
      <c r="F125" s="488"/>
      <c r="G125" s="488"/>
      <c r="H125" s="488"/>
      <c r="I125" s="488"/>
      <c r="J125" s="489"/>
      <c r="K125" s="388">
        <f>SUM(K104:K124)</f>
        <v>43520</v>
      </c>
    </row>
    <row r="126" spans="1:11" s="11" customFormat="1">
      <c r="A126" s="119"/>
      <c r="B126" s="120"/>
      <c r="C126" s="112"/>
      <c r="D126" s="113"/>
      <c r="E126" s="113"/>
      <c r="F126" s="113"/>
      <c r="G126" s="113"/>
      <c r="H126" s="166"/>
      <c r="I126" s="112"/>
      <c r="J126" s="117"/>
      <c r="K126" s="118"/>
    </row>
    <row r="127" spans="1:11" ht="18" customHeight="1">
      <c r="A127" s="192">
        <v>7</v>
      </c>
      <c r="B127" s="178" t="s">
        <v>92</v>
      </c>
      <c r="C127" s="19"/>
      <c r="D127" s="20"/>
      <c r="E127" s="20"/>
      <c r="F127" s="20"/>
      <c r="G127" s="20"/>
      <c r="H127" s="76"/>
      <c r="I127" s="20"/>
      <c r="J127" s="186"/>
      <c r="K127" s="5"/>
    </row>
    <row r="128" spans="1:11" ht="18" customHeight="1">
      <c r="A128" s="192"/>
      <c r="B128" s="178"/>
      <c r="C128" s="19"/>
      <c r="D128" s="20"/>
      <c r="E128" s="20"/>
      <c r="F128" s="20"/>
      <c r="G128" s="20"/>
      <c r="H128" s="76"/>
      <c r="I128" s="20"/>
      <c r="J128" s="186"/>
      <c r="K128" s="5"/>
    </row>
    <row r="129" spans="1:11" ht="18" customHeight="1">
      <c r="A129" s="192">
        <v>7.1</v>
      </c>
      <c r="B129" s="167" t="s">
        <v>90</v>
      </c>
      <c r="C129" s="19"/>
      <c r="D129" s="20"/>
      <c r="E129" s="20"/>
      <c r="F129" s="20"/>
      <c r="G129" s="20"/>
      <c r="H129" s="76"/>
      <c r="I129" s="20"/>
      <c r="J129" s="186"/>
      <c r="K129" s="5"/>
    </row>
    <row r="130" spans="1:11">
      <c r="A130" s="192"/>
      <c r="B130" s="178"/>
      <c r="C130" s="19"/>
      <c r="D130" s="20"/>
      <c r="E130" s="20"/>
      <c r="F130" s="20"/>
      <c r="G130" s="20"/>
      <c r="H130" s="76"/>
      <c r="I130" s="20"/>
      <c r="J130" s="186"/>
      <c r="K130" s="5"/>
    </row>
    <row r="131" spans="1:11" ht="38.25">
      <c r="A131" s="194">
        <v>7.11</v>
      </c>
      <c r="B131" s="3" t="s">
        <v>285</v>
      </c>
      <c r="C131" s="19" t="s">
        <v>37</v>
      </c>
      <c r="D131" s="20">
        <f>2.2*2</f>
        <v>4.4000000000000004</v>
      </c>
      <c r="E131" s="20">
        <v>3</v>
      </c>
      <c r="F131" s="20"/>
      <c r="G131" s="20"/>
      <c r="H131" s="334"/>
      <c r="I131" s="386">
        <f>D131*E131</f>
        <v>13.200000000000001</v>
      </c>
      <c r="J131" s="14">
        <v>580</v>
      </c>
      <c r="K131" s="5">
        <f>I131*J131</f>
        <v>7656.0000000000009</v>
      </c>
    </row>
    <row r="132" spans="1:11">
      <c r="A132" s="276"/>
      <c r="B132" s="281"/>
      <c r="C132" s="87"/>
      <c r="D132" s="290"/>
      <c r="E132" s="290"/>
      <c r="F132" s="290"/>
      <c r="G132" s="290"/>
      <c r="H132" s="337"/>
      <c r="I132" s="87"/>
      <c r="J132" s="279"/>
      <c r="K132" s="280"/>
    </row>
    <row r="133" spans="1:11">
      <c r="A133" s="192">
        <v>7.2</v>
      </c>
      <c r="B133" s="167" t="s">
        <v>89</v>
      </c>
      <c r="C133" s="28"/>
      <c r="D133" s="391"/>
      <c r="E133" s="391"/>
      <c r="F133" s="391"/>
      <c r="G133" s="391"/>
      <c r="H133" s="392"/>
      <c r="I133" s="28"/>
      <c r="J133" s="14"/>
      <c r="K133" s="5"/>
    </row>
    <row r="134" spans="1:11">
      <c r="A134" s="194"/>
      <c r="B134" s="390"/>
      <c r="C134" s="28"/>
      <c r="D134" s="391"/>
      <c r="E134" s="391"/>
      <c r="F134" s="391"/>
      <c r="G134" s="391"/>
      <c r="H134" s="392"/>
      <c r="I134" s="28"/>
      <c r="J134" s="14"/>
      <c r="K134" s="5"/>
    </row>
    <row r="135" spans="1:11" ht="56.25" customHeight="1">
      <c r="A135" s="202"/>
      <c r="B135" s="297" t="s">
        <v>331</v>
      </c>
      <c r="C135" s="28"/>
      <c r="D135" s="28"/>
      <c r="E135" s="28"/>
      <c r="F135" s="28"/>
      <c r="G135" s="28"/>
      <c r="H135" s="28"/>
      <c r="I135" s="28"/>
      <c r="J135" s="28"/>
      <c r="K135" s="5"/>
    </row>
    <row r="136" spans="1:11">
      <c r="A136" s="194"/>
      <c r="B136" s="395"/>
      <c r="C136" s="28"/>
      <c r="D136" s="28"/>
      <c r="E136" s="28"/>
      <c r="F136" s="28"/>
      <c r="G136" s="28"/>
      <c r="H136" s="28"/>
      <c r="I136" s="28"/>
      <c r="J136" s="28"/>
      <c r="K136" s="5"/>
    </row>
    <row r="137" spans="1:11" ht="38.25">
      <c r="A137" s="194">
        <v>7.21</v>
      </c>
      <c r="B137" s="206" t="s">
        <v>330</v>
      </c>
      <c r="C137" s="28" t="s">
        <v>11</v>
      </c>
      <c r="D137" s="391"/>
      <c r="E137" s="391"/>
      <c r="F137" s="391"/>
      <c r="G137" s="391"/>
      <c r="H137" s="392"/>
      <c r="I137" s="28">
        <v>3</v>
      </c>
      <c r="J137" s="14">
        <v>6000</v>
      </c>
      <c r="K137" s="5">
        <f>I137*J137</f>
        <v>18000</v>
      </c>
    </row>
    <row r="138" spans="1:11">
      <c r="A138" s="194"/>
      <c r="B138" s="210"/>
      <c r="C138" s="28"/>
      <c r="D138" s="391"/>
      <c r="E138" s="391"/>
      <c r="F138" s="391"/>
      <c r="G138" s="391"/>
      <c r="H138" s="392"/>
      <c r="I138" s="28"/>
      <c r="J138" s="14"/>
      <c r="K138" s="5"/>
    </row>
    <row r="139" spans="1:11" ht="38.25">
      <c r="A139" s="194"/>
      <c r="B139" s="3" t="s">
        <v>288</v>
      </c>
      <c r="C139" s="28"/>
      <c r="D139" s="28"/>
      <c r="E139" s="28"/>
      <c r="F139" s="28"/>
      <c r="G139" s="28"/>
      <c r="H139" s="28"/>
      <c r="I139" s="28"/>
      <c r="J139" s="28"/>
      <c r="K139" s="5"/>
    </row>
    <row r="140" spans="1:11">
      <c r="A140" s="276"/>
      <c r="B140" s="396"/>
      <c r="C140" s="28"/>
      <c r="D140" s="28"/>
      <c r="E140" s="28"/>
      <c r="F140" s="28"/>
      <c r="G140" s="28"/>
      <c r="H140" s="28"/>
      <c r="I140" s="28"/>
      <c r="J140" s="28"/>
      <c r="K140" s="5"/>
    </row>
    <row r="141" spans="1:11">
      <c r="A141" s="202">
        <v>7.22</v>
      </c>
      <c r="B141" s="294" t="s">
        <v>289</v>
      </c>
      <c r="C141" s="28" t="s">
        <v>3</v>
      </c>
      <c r="D141" s="28">
        <v>6</v>
      </c>
      <c r="E141" s="28">
        <v>4</v>
      </c>
      <c r="F141" s="28"/>
      <c r="G141" s="28"/>
      <c r="H141" s="28" t="s">
        <v>332</v>
      </c>
      <c r="I141" s="28">
        <f>D141*E141</f>
        <v>24</v>
      </c>
      <c r="J141" s="14">
        <v>200</v>
      </c>
      <c r="K141" s="5">
        <f>I141*J141</f>
        <v>4800</v>
      </c>
    </row>
    <row r="142" spans="1:11">
      <c r="A142" s="361"/>
      <c r="B142" s="206"/>
      <c r="C142" s="28"/>
      <c r="D142" s="28"/>
      <c r="E142" s="28"/>
      <c r="F142" s="28"/>
      <c r="G142" s="28"/>
      <c r="H142" s="28"/>
      <c r="I142" s="28"/>
      <c r="J142" s="28"/>
      <c r="K142" s="5"/>
    </row>
    <row r="143" spans="1:11" ht="25.5">
      <c r="A143" s="276">
        <v>7.23</v>
      </c>
      <c r="B143" s="294" t="s">
        <v>290</v>
      </c>
      <c r="C143" s="28" t="s">
        <v>3</v>
      </c>
      <c r="D143" s="28"/>
      <c r="E143" s="28"/>
      <c r="F143" s="28"/>
      <c r="G143" s="28"/>
      <c r="H143" s="28"/>
      <c r="I143" s="28">
        <f>D4*E4</f>
        <v>7.5</v>
      </c>
      <c r="J143" s="14">
        <v>200</v>
      </c>
      <c r="K143" s="5">
        <f>I143*J143</f>
        <v>1500</v>
      </c>
    </row>
    <row r="144" spans="1:11">
      <c r="A144" s="361"/>
      <c r="B144" s="206"/>
      <c r="C144" s="28"/>
      <c r="D144" s="28"/>
      <c r="E144" s="28"/>
      <c r="F144" s="28"/>
      <c r="G144" s="28"/>
      <c r="H144" s="28"/>
      <c r="I144" s="28"/>
      <c r="J144" s="28"/>
      <c r="K144" s="5"/>
    </row>
    <row r="145" spans="1:11">
      <c r="A145" s="194">
        <v>7.24</v>
      </c>
      <c r="B145" s="294" t="s">
        <v>170</v>
      </c>
      <c r="C145" s="28" t="s">
        <v>3</v>
      </c>
      <c r="D145" s="28">
        <v>4</v>
      </c>
      <c r="E145" s="28">
        <v>2.2000000000000002</v>
      </c>
      <c r="F145" s="28"/>
      <c r="G145" s="28"/>
      <c r="H145" s="28"/>
      <c r="I145" s="28">
        <f>(D145*2)+(E145*4)</f>
        <v>16.8</v>
      </c>
      <c r="J145" s="28">
        <v>250</v>
      </c>
      <c r="K145" s="5">
        <f>I145*J145</f>
        <v>4200</v>
      </c>
    </row>
    <row r="146" spans="1:11">
      <c r="A146" s="122"/>
      <c r="B146" s="165"/>
      <c r="C146" s="112"/>
      <c r="D146" s="125"/>
      <c r="E146" s="125"/>
      <c r="F146" s="125"/>
      <c r="G146" s="125"/>
      <c r="H146" s="336"/>
      <c r="I146" s="124"/>
      <c r="J146" s="117"/>
      <c r="K146" s="118"/>
    </row>
    <row r="147" spans="1:11" s="154" customFormat="1" ht="15">
      <c r="A147" s="487" t="s">
        <v>143</v>
      </c>
      <c r="B147" s="488"/>
      <c r="C147" s="488"/>
      <c r="D147" s="488"/>
      <c r="E147" s="488"/>
      <c r="F147" s="488"/>
      <c r="G147" s="488"/>
      <c r="H147" s="488"/>
      <c r="I147" s="488"/>
      <c r="J147" s="489"/>
      <c r="K147" s="388">
        <f>SUM(K126:K146)</f>
        <v>36156</v>
      </c>
    </row>
    <row r="148" spans="1:11">
      <c r="A148" s="361"/>
      <c r="B148" s="205"/>
      <c r="C148" s="19"/>
      <c r="D148" s="19"/>
      <c r="E148" s="19"/>
      <c r="F148" s="19"/>
      <c r="G148" s="19"/>
      <c r="H148" s="19"/>
      <c r="I148" s="19"/>
      <c r="J148" s="14"/>
      <c r="K148" s="5"/>
    </row>
    <row r="149" spans="1:11">
      <c r="A149" s="192">
        <v>8</v>
      </c>
      <c r="B149" s="204" t="s">
        <v>75</v>
      </c>
      <c r="C149" s="28"/>
      <c r="D149" s="28"/>
      <c r="E149" s="28"/>
      <c r="F149" s="28"/>
      <c r="G149" s="28"/>
      <c r="H149" s="28"/>
      <c r="I149" s="28"/>
      <c r="J149" s="28"/>
      <c r="K149" s="5"/>
    </row>
    <row r="150" spans="1:11">
      <c r="A150" s="276"/>
      <c r="B150" s="206"/>
      <c r="C150" s="28"/>
      <c r="D150" s="28"/>
      <c r="E150" s="28"/>
      <c r="F150" s="28"/>
      <c r="G150" s="28"/>
      <c r="H150" s="28"/>
      <c r="I150" s="28"/>
      <c r="J150" s="28"/>
      <c r="K150" s="5"/>
    </row>
    <row r="151" spans="1:11">
      <c r="A151" s="192">
        <v>8.1</v>
      </c>
      <c r="B151" s="204" t="s">
        <v>175</v>
      </c>
      <c r="C151" s="28"/>
      <c r="D151" s="28"/>
      <c r="E151" s="28"/>
      <c r="F151" s="28"/>
      <c r="G151" s="28"/>
      <c r="H151" s="28"/>
      <c r="I151" s="28"/>
      <c r="J151" s="28"/>
      <c r="K151" s="5"/>
    </row>
    <row r="152" spans="1:11">
      <c r="A152" s="298"/>
      <c r="B152" s="204"/>
      <c r="C152" s="28"/>
      <c r="D152" s="28"/>
      <c r="E152" s="28"/>
      <c r="F152" s="28"/>
      <c r="G152" s="28"/>
      <c r="H152" s="28"/>
      <c r="I152" s="28"/>
      <c r="J152" s="28"/>
      <c r="K152" s="5"/>
    </row>
    <row r="153" spans="1:11">
      <c r="A153" s="276"/>
      <c r="B153" s="206" t="s">
        <v>174</v>
      </c>
      <c r="C153" s="28"/>
      <c r="D153" s="28"/>
      <c r="E153" s="28"/>
      <c r="F153" s="28"/>
      <c r="G153" s="28"/>
      <c r="H153" s="28"/>
      <c r="I153" s="28"/>
      <c r="J153" s="28"/>
      <c r="K153" s="5"/>
    </row>
    <row r="154" spans="1:11">
      <c r="A154" s="361"/>
      <c r="B154" s="204"/>
      <c r="C154" s="28"/>
      <c r="D154" s="28"/>
      <c r="E154" s="28"/>
      <c r="F154" s="28"/>
      <c r="G154" s="28"/>
      <c r="H154" s="28"/>
      <c r="I154" s="28"/>
      <c r="J154" s="28"/>
      <c r="K154" s="5"/>
    </row>
    <row r="155" spans="1:11" ht="15.75">
      <c r="A155" s="194">
        <v>8.11</v>
      </c>
      <c r="B155" s="294" t="s">
        <v>74</v>
      </c>
      <c r="C155" s="28" t="s">
        <v>37</v>
      </c>
      <c r="D155" s="100"/>
      <c r="E155" s="28"/>
      <c r="F155" s="100"/>
      <c r="G155" s="28"/>
      <c r="H155" s="28"/>
      <c r="I155" s="296">
        <f>I145*0.2</f>
        <v>3.3600000000000003</v>
      </c>
      <c r="J155" s="14">
        <v>600</v>
      </c>
      <c r="K155" s="5">
        <f>I155*J155</f>
        <v>2016.0000000000002</v>
      </c>
    </row>
    <row r="156" spans="1:11">
      <c r="A156" s="276"/>
      <c r="B156" s="206"/>
      <c r="C156" s="28"/>
      <c r="D156" s="28"/>
      <c r="E156" s="28"/>
      <c r="F156" s="28"/>
      <c r="G156" s="28"/>
      <c r="H156" s="28"/>
      <c r="I156" s="28"/>
      <c r="J156" s="28"/>
      <c r="K156" s="5"/>
    </row>
    <row r="157" spans="1:11">
      <c r="A157" s="194">
        <v>8.1199999999999992</v>
      </c>
      <c r="B157" s="206" t="s">
        <v>298</v>
      </c>
      <c r="C157" s="28" t="s">
        <v>279</v>
      </c>
      <c r="D157" s="28"/>
      <c r="E157" s="28"/>
      <c r="F157" s="28"/>
      <c r="G157" s="28"/>
      <c r="H157" s="28"/>
      <c r="I157" s="28" t="s">
        <v>124</v>
      </c>
      <c r="J157" s="14">
        <v>3000</v>
      </c>
      <c r="K157" s="5">
        <f>J157</f>
        <v>3000</v>
      </c>
    </row>
    <row r="158" spans="1:11">
      <c r="A158" s="276"/>
      <c r="B158" s="206"/>
      <c r="C158" s="87"/>
      <c r="D158" s="87"/>
      <c r="E158" s="87"/>
      <c r="F158" s="87"/>
      <c r="G158" s="87"/>
      <c r="H158" s="87"/>
      <c r="I158" s="87"/>
      <c r="J158" s="279"/>
      <c r="K158" s="280"/>
    </row>
    <row r="159" spans="1:11">
      <c r="A159" s="194">
        <v>8.1300000000000008</v>
      </c>
      <c r="B159" s="206" t="s">
        <v>333</v>
      </c>
      <c r="C159" s="28" t="s">
        <v>279</v>
      </c>
      <c r="D159" s="87"/>
      <c r="E159" s="87"/>
      <c r="F159" s="87"/>
      <c r="G159" s="87"/>
      <c r="H159" s="87"/>
      <c r="I159" s="87" t="s">
        <v>124</v>
      </c>
      <c r="J159" s="279">
        <v>2000</v>
      </c>
      <c r="K159" s="5">
        <f>J159</f>
        <v>2000</v>
      </c>
    </row>
    <row r="160" spans="1:11">
      <c r="A160" s="276"/>
      <c r="B160" s="294"/>
      <c r="C160" s="112"/>
      <c r="D160" s="113"/>
      <c r="E160" s="113"/>
      <c r="F160" s="113"/>
      <c r="G160" s="113"/>
      <c r="H160" s="113"/>
      <c r="I160" s="112"/>
      <c r="J160" s="117"/>
      <c r="K160" s="118"/>
    </row>
    <row r="161" spans="1:11" s="154" customFormat="1" ht="15">
      <c r="A161" s="487" t="s">
        <v>109</v>
      </c>
      <c r="B161" s="488"/>
      <c r="C161" s="488"/>
      <c r="D161" s="488"/>
      <c r="E161" s="488"/>
      <c r="F161" s="488"/>
      <c r="G161" s="488"/>
      <c r="H161" s="488"/>
      <c r="I161" s="488"/>
      <c r="J161" s="489"/>
      <c r="K161" s="388">
        <f>SUM(K148:K160)</f>
        <v>7016</v>
      </c>
    </row>
    <row r="162" spans="1:11" s="154" customFormat="1" ht="15">
      <c r="A162" s="361"/>
      <c r="B162" s="294"/>
      <c r="C162" s="19"/>
      <c r="D162" s="19"/>
      <c r="E162" s="19"/>
      <c r="F162" s="19"/>
      <c r="G162" s="19"/>
      <c r="H162" s="19"/>
      <c r="I162" s="19"/>
      <c r="J162" s="14"/>
      <c r="K162" s="5"/>
    </row>
    <row r="163" spans="1:11" s="154" customFormat="1" ht="15">
      <c r="A163" s="192">
        <v>9</v>
      </c>
      <c r="B163" s="204" t="s">
        <v>306</v>
      </c>
      <c r="C163" s="28"/>
      <c r="D163" s="28"/>
      <c r="E163" s="28"/>
      <c r="F163" s="28"/>
      <c r="G163" s="28"/>
      <c r="H163" s="28"/>
      <c r="I163" s="28"/>
      <c r="J163" s="28"/>
      <c r="K163" s="5"/>
    </row>
    <row r="164" spans="1:11" s="154" customFormat="1" ht="15">
      <c r="A164" s="361"/>
      <c r="B164" s="294"/>
      <c r="C164" s="28"/>
      <c r="D164" s="28"/>
      <c r="E164" s="28"/>
      <c r="F164" s="28"/>
      <c r="G164" s="28"/>
      <c r="H164" s="28"/>
      <c r="I164" s="28"/>
      <c r="J164" s="321"/>
      <c r="K164" s="5"/>
    </row>
    <row r="165" spans="1:11" s="154" customFormat="1" ht="38.25">
      <c r="A165" s="276">
        <v>9.1</v>
      </c>
      <c r="B165" s="294" t="s">
        <v>340</v>
      </c>
      <c r="C165" s="28" t="s">
        <v>37</v>
      </c>
      <c r="D165" s="28"/>
      <c r="E165" s="28"/>
      <c r="F165" s="28"/>
      <c r="G165" s="28"/>
      <c r="H165" s="28"/>
      <c r="I165" s="28">
        <v>1.8</v>
      </c>
      <c r="J165" s="14">
        <v>1800</v>
      </c>
      <c r="K165" s="5">
        <f>I165*J165</f>
        <v>3240</v>
      </c>
    </row>
    <row r="166" spans="1:11">
      <c r="A166" s="119"/>
      <c r="B166" s="120"/>
      <c r="C166" s="112"/>
      <c r="D166" s="113"/>
      <c r="E166" s="113"/>
      <c r="F166" s="113"/>
      <c r="G166" s="113"/>
      <c r="H166" s="113"/>
      <c r="I166" s="112"/>
      <c r="J166" s="117"/>
      <c r="K166" s="118"/>
    </row>
    <row r="167" spans="1:11" s="154" customFormat="1" ht="15">
      <c r="A167" s="487" t="s">
        <v>432</v>
      </c>
      <c r="B167" s="488"/>
      <c r="C167" s="488"/>
      <c r="D167" s="488"/>
      <c r="E167" s="488"/>
      <c r="F167" s="488"/>
      <c r="G167" s="488"/>
      <c r="H167" s="488"/>
      <c r="I167" s="488"/>
      <c r="J167" s="489"/>
      <c r="K167" s="388">
        <f>SUM(K162:K165)</f>
        <v>3240</v>
      </c>
    </row>
    <row r="168" spans="1:11" s="11" customFormat="1" ht="15" customHeight="1">
      <c r="A168" s="498"/>
      <c r="B168" s="499"/>
      <c r="C168" s="499"/>
      <c r="D168" s="499"/>
      <c r="E168" s="499"/>
      <c r="F168" s="499"/>
      <c r="G168" s="499"/>
      <c r="H168" s="499"/>
      <c r="I168" s="499"/>
      <c r="J168" s="499"/>
      <c r="K168" s="500"/>
    </row>
    <row r="169" spans="1:11" ht="14.25" customHeight="1">
      <c r="A169" s="497" t="s">
        <v>108</v>
      </c>
      <c r="B169" s="497"/>
      <c r="C169" s="497"/>
      <c r="D169" s="497"/>
      <c r="E169" s="497"/>
      <c r="F169" s="497"/>
      <c r="G169" s="497"/>
      <c r="H169" s="497"/>
      <c r="I169" s="497"/>
      <c r="J169" s="497"/>
      <c r="K169" s="388">
        <f>K31+K69+K75+K91+K103+K125+K147+K161+K167</f>
        <v>301678.28975</v>
      </c>
    </row>
    <row r="170" spans="1:11" ht="14.25" customHeight="1">
      <c r="A170" s="497" t="s">
        <v>107</v>
      </c>
      <c r="B170" s="497" t="s">
        <v>7</v>
      </c>
      <c r="C170" s="497"/>
      <c r="D170" s="497"/>
      <c r="E170" s="497"/>
      <c r="F170" s="497"/>
      <c r="G170" s="497"/>
      <c r="H170" s="497"/>
      <c r="I170" s="497"/>
      <c r="J170" s="497"/>
      <c r="K170" s="388">
        <f>0.05*K169</f>
        <v>15083.9144875</v>
      </c>
    </row>
    <row r="171" spans="1:11">
      <c r="A171" s="497" t="s">
        <v>108</v>
      </c>
      <c r="B171" s="497"/>
      <c r="C171" s="497"/>
      <c r="D171" s="497"/>
      <c r="E171" s="497"/>
      <c r="F171" s="497"/>
      <c r="G171" s="497"/>
      <c r="H171" s="497"/>
      <c r="I171" s="497"/>
      <c r="J171" s="497"/>
      <c r="K171" s="388">
        <f>SUM(K169:K170)</f>
        <v>316762.20423749997</v>
      </c>
    </row>
    <row r="172" spans="1:11" s="11" customFormat="1" ht="39.75" customHeight="1">
      <c r="A172" s="496" t="s">
        <v>222</v>
      </c>
      <c r="B172" s="496"/>
      <c r="C172" s="496"/>
      <c r="D172" s="496"/>
      <c r="E172" s="496"/>
      <c r="F172" s="496"/>
      <c r="G172" s="496"/>
      <c r="H172" s="496"/>
      <c r="I172" s="496"/>
      <c r="J172" s="496"/>
      <c r="K172" s="496"/>
    </row>
    <row r="173" spans="1:11">
      <c r="B173" s="184"/>
    </row>
  </sheetData>
  <mergeCells count="17">
    <mergeCell ref="A1:I1"/>
    <mergeCell ref="A2:K2"/>
    <mergeCell ref="D3:H3"/>
    <mergeCell ref="A31:J31"/>
    <mergeCell ref="A69:J69"/>
    <mergeCell ref="A169:J169"/>
    <mergeCell ref="A170:J170"/>
    <mergeCell ref="A171:J171"/>
    <mergeCell ref="A172:K172"/>
    <mergeCell ref="A75:J75"/>
    <mergeCell ref="A167:J167"/>
    <mergeCell ref="A103:J103"/>
    <mergeCell ref="A125:J125"/>
    <mergeCell ref="A147:J147"/>
    <mergeCell ref="A161:J161"/>
    <mergeCell ref="A168:K168"/>
    <mergeCell ref="A91:J91"/>
  </mergeCells>
  <pageMargins left="0.7" right="0.7" top="0.75" bottom="0.75" header="0.3" footer="0.3"/>
  <pageSetup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5"/>
  <sheetViews>
    <sheetView zoomScale="80" zoomScaleNormal="80" zoomScaleSheetLayoutView="100" workbookViewId="0">
      <selection activeCell="E15" sqref="E15"/>
    </sheetView>
  </sheetViews>
  <sheetFormatPr defaultColWidth="11.42578125" defaultRowHeight="15"/>
  <cols>
    <col min="1" max="1" width="9.28515625" style="86" customWidth="1"/>
    <col min="2" max="2" width="64.7109375" style="8" customWidth="1"/>
    <col min="3" max="3" width="9.7109375" style="68" customWidth="1"/>
    <col min="4" max="7" width="10.7109375" style="11" customWidth="1"/>
    <col min="8" max="8" width="23.140625" style="11" customWidth="1"/>
    <col min="9" max="9" width="10.7109375" style="68" customWidth="1"/>
    <col min="10" max="10" width="14.7109375" style="91" customWidth="1"/>
    <col min="11" max="11" width="15.5703125" style="40" bestFit="1" customWidth="1"/>
    <col min="12" max="16384" width="11.42578125" style="8"/>
  </cols>
  <sheetData>
    <row r="1" spans="1:11" ht="48.75" customHeight="1">
      <c r="A1" s="485" t="s">
        <v>99</v>
      </c>
      <c r="B1" s="486"/>
      <c r="C1" s="486"/>
      <c r="D1" s="486"/>
      <c r="E1" s="486"/>
      <c r="F1" s="486"/>
      <c r="G1" s="486"/>
      <c r="H1" s="486"/>
      <c r="I1" s="486"/>
      <c r="J1" s="152"/>
      <c r="K1" s="151"/>
    </row>
    <row r="2" spans="1:11" ht="14.25" customHeight="1">
      <c r="A2" s="505" t="s">
        <v>414</v>
      </c>
      <c r="B2" s="505"/>
      <c r="C2" s="505"/>
      <c r="D2" s="505"/>
      <c r="E2" s="505"/>
      <c r="F2" s="505"/>
      <c r="G2" s="505"/>
      <c r="H2" s="505"/>
      <c r="I2" s="505"/>
      <c r="J2" s="505"/>
      <c r="K2" s="505"/>
    </row>
    <row r="3" spans="1:11" ht="14.25" customHeight="1">
      <c r="A3" s="158" t="s">
        <v>0</v>
      </c>
      <c r="B3" s="159" t="s">
        <v>1</v>
      </c>
      <c r="C3" s="105" t="s">
        <v>2</v>
      </c>
      <c r="D3" s="515" t="s">
        <v>32</v>
      </c>
      <c r="E3" s="515"/>
      <c r="F3" s="515"/>
      <c r="G3" s="515"/>
      <c r="H3" s="515"/>
      <c r="I3" s="105" t="s">
        <v>98</v>
      </c>
      <c r="J3" s="105" t="s">
        <v>4</v>
      </c>
      <c r="K3" s="105" t="s">
        <v>5</v>
      </c>
    </row>
    <row r="4" spans="1:11" ht="14.25">
      <c r="A4" s="198"/>
      <c r="B4" s="204"/>
      <c r="C4" s="19"/>
      <c r="D4" s="332">
        <v>4.6500000000000004</v>
      </c>
      <c r="E4" s="332">
        <v>4</v>
      </c>
      <c r="F4" s="332">
        <v>3.7</v>
      </c>
      <c r="G4" s="19"/>
      <c r="H4" s="19"/>
      <c r="I4" s="19"/>
      <c r="J4" s="14"/>
      <c r="K4" s="5"/>
    </row>
    <row r="5" spans="1:11" ht="14.25">
      <c r="A5" s="200">
        <v>1</v>
      </c>
      <c r="B5" s="167" t="s">
        <v>8</v>
      </c>
      <c r="C5" s="19"/>
      <c r="D5" s="19"/>
      <c r="E5" s="19"/>
      <c r="F5" s="19"/>
      <c r="G5" s="19"/>
      <c r="H5" s="19"/>
      <c r="I5" s="19"/>
      <c r="J5" s="14"/>
      <c r="K5" s="5"/>
    </row>
    <row r="6" spans="1:11" ht="14.25">
      <c r="A6" s="198"/>
      <c r="B6" s="204"/>
      <c r="C6" s="19"/>
      <c r="D6" s="19"/>
      <c r="E6" s="19"/>
      <c r="F6" s="19"/>
      <c r="G6" s="19"/>
      <c r="H6" s="19"/>
      <c r="I6" s="19"/>
      <c r="J6" s="14"/>
      <c r="K6" s="5"/>
    </row>
    <row r="7" spans="1:11" ht="38.25">
      <c r="A7" s="194"/>
      <c r="B7" s="21" t="s">
        <v>158</v>
      </c>
      <c r="C7" s="20"/>
      <c r="D7" s="20"/>
      <c r="E7" s="20"/>
      <c r="F7" s="20"/>
      <c r="G7" s="20"/>
      <c r="H7" s="20"/>
      <c r="I7" s="20"/>
      <c r="J7" s="20"/>
      <c r="K7" s="5"/>
    </row>
    <row r="8" spans="1:11" ht="14.25">
      <c r="A8" s="194"/>
      <c r="B8" s="21"/>
      <c r="C8" s="20"/>
      <c r="D8" s="20"/>
      <c r="E8" s="20"/>
      <c r="F8" s="20"/>
      <c r="G8" s="20"/>
      <c r="H8" s="20"/>
      <c r="I8" s="20"/>
      <c r="J8" s="20"/>
      <c r="K8" s="5"/>
    </row>
    <row r="9" spans="1:11" s="67" customFormat="1" ht="12.75">
      <c r="A9" s="190">
        <v>1.1000000000000001</v>
      </c>
      <c r="B9" s="167" t="s">
        <v>178</v>
      </c>
      <c r="C9" s="19"/>
      <c r="D9" s="19"/>
      <c r="E9" s="19"/>
      <c r="F9" s="19"/>
      <c r="G9" s="19"/>
      <c r="H9" s="19"/>
      <c r="I9" s="19"/>
      <c r="J9" s="14"/>
      <c r="K9" s="5"/>
    </row>
    <row r="10" spans="1:11" s="67" customFormat="1" ht="12.75">
      <c r="A10" s="198"/>
      <c r="B10" s="206"/>
      <c r="C10" s="19"/>
      <c r="D10" s="19"/>
      <c r="E10" s="19"/>
      <c r="F10" s="19"/>
      <c r="G10" s="19"/>
      <c r="H10" s="19"/>
      <c r="I10" s="19"/>
      <c r="J10" s="14"/>
      <c r="K10" s="5"/>
    </row>
    <row r="11" spans="1:11" ht="25.5">
      <c r="A11" s="194">
        <v>1.1100000000000001</v>
      </c>
      <c r="B11" s="21" t="s">
        <v>91</v>
      </c>
      <c r="C11" s="20" t="s">
        <v>37</v>
      </c>
      <c r="D11" s="274">
        <f>D4+0.4</f>
        <v>5.0500000000000007</v>
      </c>
      <c r="E11" s="274">
        <f>E4+0.4</f>
        <v>4.4000000000000004</v>
      </c>
      <c r="F11" s="19"/>
      <c r="G11" s="19"/>
      <c r="H11" s="19"/>
      <c r="I11" s="458">
        <f>D11*E11</f>
        <v>22.220000000000006</v>
      </c>
      <c r="J11" s="14">
        <v>100</v>
      </c>
      <c r="K11" s="5">
        <f>I11*J11</f>
        <v>2222.0000000000005</v>
      </c>
    </row>
    <row r="12" spans="1:11" s="67" customFormat="1" ht="12.75">
      <c r="A12" s="198"/>
      <c r="B12" s="204"/>
      <c r="C12" s="19"/>
      <c r="D12" s="19"/>
      <c r="E12" s="19"/>
      <c r="F12" s="19"/>
      <c r="G12" s="19"/>
      <c r="H12" s="19"/>
      <c r="I12" s="19"/>
      <c r="J12" s="14"/>
      <c r="K12" s="5"/>
    </row>
    <row r="13" spans="1:11" s="67" customFormat="1" ht="12.75">
      <c r="A13" s="190">
        <v>1.2</v>
      </c>
      <c r="B13" s="167" t="s">
        <v>179</v>
      </c>
      <c r="C13" s="19"/>
      <c r="D13" s="19"/>
      <c r="E13" s="19"/>
      <c r="F13" s="19"/>
      <c r="G13" s="19"/>
      <c r="H13" s="19"/>
      <c r="I13" s="19"/>
      <c r="J13" s="14"/>
      <c r="K13" s="5"/>
    </row>
    <row r="14" spans="1:11" s="67" customFormat="1" ht="12.75">
      <c r="A14" s="199"/>
      <c r="B14" s="205"/>
      <c r="C14" s="19"/>
      <c r="D14" s="19"/>
      <c r="E14" s="19"/>
      <c r="F14" s="19"/>
      <c r="G14" s="19"/>
      <c r="H14" s="19"/>
      <c r="I14" s="19"/>
      <c r="J14" s="14"/>
      <c r="K14" s="5"/>
    </row>
    <row r="15" spans="1:11" ht="43.5" customHeight="1">
      <c r="A15" s="194"/>
      <c r="B15" s="21" t="s">
        <v>349</v>
      </c>
      <c r="C15" s="20"/>
      <c r="D15" s="20"/>
      <c r="E15" s="20"/>
      <c r="F15" s="20"/>
      <c r="G15" s="20"/>
      <c r="H15" s="76"/>
      <c r="I15" s="20"/>
      <c r="J15" s="20"/>
      <c r="K15" s="5"/>
    </row>
    <row r="16" spans="1:11" ht="14.25" customHeight="1">
      <c r="A16" s="194"/>
      <c r="B16" s="21"/>
      <c r="C16" s="20"/>
      <c r="D16" s="20"/>
      <c r="E16" s="20"/>
      <c r="F16" s="20"/>
      <c r="G16" s="20"/>
      <c r="H16" s="76"/>
      <c r="I16" s="20"/>
      <c r="J16" s="20"/>
      <c r="K16" s="5"/>
    </row>
    <row r="17" spans="1:11" ht="15.75">
      <c r="A17" s="194">
        <v>1.21</v>
      </c>
      <c r="B17" s="275" t="s">
        <v>43</v>
      </c>
      <c r="C17" s="20" t="s">
        <v>34</v>
      </c>
      <c r="D17" s="274">
        <f>D11</f>
        <v>5.0500000000000007</v>
      </c>
      <c r="E17" s="274">
        <f>E11</f>
        <v>4.4000000000000004</v>
      </c>
      <c r="F17" s="20">
        <v>1</v>
      </c>
      <c r="G17" s="20"/>
      <c r="H17" s="20"/>
      <c r="I17" s="20">
        <f>((D17*2)+(E17*2))*F17</f>
        <v>18.900000000000002</v>
      </c>
      <c r="J17" s="14">
        <v>250</v>
      </c>
      <c r="K17" s="5">
        <f>I17*J17</f>
        <v>4725.0000000000009</v>
      </c>
    </row>
    <row r="18" spans="1:11" ht="14.25">
      <c r="A18" s="195"/>
      <c r="B18" s="21"/>
      <c r="C18" s="20"/>
      <c r="D18" s="20"/>
      <c r="E18" s="20"/>
      <c r="F18" s="20"/>
      <c r="G18" s="20"/>
      <c r="H18" s="20"/>
      <c r="I18" s="20"/>
      <c r="J18" s="20"/>
      <c r="K18" s="5"/>
    </row>
    <row r="19" spans="1:11" ht="38.25">
      <c r="A19" s="457">
        <v>1.22</v>
      </c>
      <c r="B19" s="446" t="s">
        <v>363</v>
      </c>
      <c r="C19" s="447" t="s">
        <v>34</v>
      </c>
      <c r="D19" s="447"/>
      <c r="E19" s="447"/>
      <c r="F19" s="447"/>
      <c r="G19" s="447"/>
      <c r="H19" s="447"/>
      <c r="I19" s="459">
        <f>(I11*0.25)+(0.3*I17)</f>
        <v>11.225000000000001</v>
      </c>
      <c r="J19" s="449">
        <v>350</v>
      </c>
      <c r="K19" s="450">
        <f>I19*J19</f>
        <v>3928.7500000000005</v>
      </c>
    </row>
    <row r="20" spans="1:11" ht="14.25">
      <c r="A20" s="195"/>
      <c r="B20" s="21"/>
      <c r="C20" s="20"/>
      <c r="D20" s="20"/>
      <c r="E20" s="20"/>
      <c r="F20" s="20"/>
      <c r="G20" s="20"/>
      <c r="H20" s="20"/>
      <c r="I20" s="20"/>
      <c r="J20" s="20"/>
      <c r="K20" s="5"/>
    </row>
    <row r="21" spans="1:11" ht="25.5">
      <c r="A21" s="451">
        <v>1.23</v>
      </c>
      <c r="B21" s="452" t="s">
        <v>63</v>
      </c>
      <c r="C21" s="453" t="s">
        <v>34</v>
      </c>
      <c r="D21" s="453"/>
      <c r="E21" s="453"/>
      <c r="F21" s="453"/>
      <c r="G21" s="453"/>
      <c r="H21" s="408" t="s">
        <v>204</v>
      </c>
      <c r="I21" s="459">
        <f>60%*(SUM($I17))</f>
        <v>11.340000000000002</v>
      </c>
      <c r="J21" s="449">
        <v>600</v>
      </c>
      <c r="K21" s="450">
        <f>I21*J21</f>
        <v>6804.0000000000009</v>
      </c>
    </row>
    <row r="22" spans="1:11" ht="14.25">
      <c r="A22" s="197"/>
      <c r="B22" s="170"/>
      <c r="C22" s="78"/>
      <c r="D22" s="78"/>
      <c r="E22" s="78"/>
      <c r="F22" s="78"/>
      <c r="G22" s="78"/>
      <c r="H22" s="264"/>
      <c r="I22" s="130"/>
      <c r="J22" s="20"/>
      <c r="K22" s="5"/>
    </row>
    <row r="23" spans="1:11" ht="15.75">
      <c r="A23" s="451">
        <v>1.24</v>
      </c>
      <c r="B23" s="452" t="s">
        <v>35</v>
      </c>
      <c r="C23" s="453" t="s">
        <v>34</v>
      </c>
      <c r="D23" s="453"/>
      <c r="E23" s="453"/>
      <c r="F23" s="453"/>
      <c r="G23" s="453"/>
      <c r="H23" s="408" t="s">
        <v>153</v>
      </c>
      <c r="I23" s="428">
        <f>30%*(SUM($I17))</f>
        <v>5.6700000000000008</v>
      </c>
      <c r="J23" s="449">
        <v>960</v>
      </c>
      <c r="K23" s="450">
        <f>I23*J23</f>
        <v>5443.2000000000007</v>
      </c>
    </row>
    <row r="24" spans="1:11" ht="14.25">
      <c r="A24" s="197"/>
      <c r="B24" s="170"/>
      <c r="C24" s="78"/>
      <c r="D24" s="78"/>
      <c r="E24" s="78"/>
      <c r="F24" s="78"/>
      <c r="G24" s="78"/>
      <c r="H24" s="264"/>
      <c r="I24" s="130"/>
      <c r="J24" s="20"/>
      <c r="K24" s="5"/>
    </row>
    <row r="25" spans="1:11" ht="15.75">
      <c r="A25" s="451">
        <v>1.25</v>
      </c>
      <c r="B25" s="452" t="s">
        <v>36</v>
      </c>
      <c r="C25" s="453" t="s">
        <v>34</v>
      </c>
      <c r="D25" s="453"/>
      <c r="E25" s="453"/>
      <c r="F25" s="453"/>
      <c r="G25" s="453"/>
      <c r="H25" s="408" t="s">
        <v>215</v>
      </c>
      <c r="I25" s="428">
        <f>10%*(SUM($I17))</f>
        <v>1.8900000000000003</v>
      </c>
      <c r="J25" s="449">
        <v>1800</v>
      </c>
      <c r="K25" s="450">
        <f>I25*J25</f>
        <v>3402.0000000000005</v>
      </c>
    </row>
    <row r="26" spans="1:11" ht="14.25">
      <c r="A26" s="194"/>
      <c r="B26" s="21"/>
      <c r="C26" s="20"/>
      <c r="D26" s="20"/>
      <c r="E26" s="20"/>
      <c r="F26" s="20"/>
      <c r="G26" s="20"/>
      <c r="H26" s="20"/>
      <c r="I26" s="20"/>
      <c r="J26" s="20"/>
      <c r="K26" s="5"/>
    </row>
    <row r="27" spans="1:11" ht="14.25">
      <c r="A27" s="190">
        <v>1.3</v>
      </c>
      <c r="B27" s="167" t="s">
        <v>180</v>
      </c>
      <c r="C27" s="20"/>
      <c r="D27" s="20"/>
      <c r="E27" s="20"/>
      <c r="F27" s="20"/>
      <c r="G27" s="20"/>
      <c r="H27" s="20"/>
      <c r="I27" s="20"/>
      <c r="J27" s="20"/>
      <c r="K27" s="5"/>
    </row>
    <row r="28" spans="1:11" ht="14.25">
      <c r="A28" s="276"/>
      <c r="B28" s="360"/>
      <c r="C28" s="20"/>
      <c r="D28" s="20"/>
      <c r="E28" s="20"/>
      <c r="F28" s="20"/>
      <c r="G28" s="20"/>
      <c r="H28" s="20"/>
      <c r="I28" s="20"/>
      <c r="J28" s="20"/>
      <c r="K28" s="5"/>
    </row>
    <row r="29" spans="1:11" s="67" customFormat="1" ht="12.75">
      <c r="A29" s="198">
        <v>1.31</v>
      </c>
      <c r="B29" s="206" t="s">
        <v>163</v>
      </c>
      <c r="C29" s="19" t="s">
        <v>83</v>
      </c>
      <c r="D29" s="274">
        <f>D17</f>
        <v>5.0500000000000007</v>
      </c>
      <c r="E29" s="274">
        <f>E17</f>
        <v>4.4000000000000004</v>
      </c>
      <c r="F29" s="19">
        <v>0.6</v>
      </c>
      <c r="G29" s="19">
        <v>0.2</v>
      </c>
      <c r="H29" s="19"/>
      <c r="I29" s="194">
        <f>(((D29*2)+(E29*2))*F29*G29)+(D4*E4*G29)</f>
        <v>5.9880000000000013</v>
      </c>
      <c r="J29" s="14">
        <v>980</v>
      </c>
      <c r="K29" s="5">
        <f>I29*J29</f>
        <v>5868.2400000000016</v>
      </c>
    </row>
    <row r="30" spans="1:11" ht="14.25">
      <c r="A30" s="122"/>
      <c r="B30" s="165"/>
      <c r="C30" s="112"/>
      <c r="D30" s="125"/>
      <c r="E30" s="125"/>
      <c r="F30" s="125"/>
      <c r="G30" s="125"/>
      <c r="H30" s="125"/>
      <c r="I30" s="124"/>
      <c r="J30" s="117"/>
      <c r="K30" s="118"/>
    </row>
    <row r="31" spans="1:11" s="154" customFormat="1">
      <c r="A31" s="487" t="s">
        <v>111</v>
      </c>
      <c r="B31" s="488"/>
      <c r="C31" s="488"/>
      <c r="D31" s="488"/>
      <c r="E31" s="488"/>
      <c r="F31" s="488"/>
      <c r="G31" s="488"/>
      <c r="H31" s="488"/>
      <c r="I31" s="488"/>
      <c r="J31" s="489"/>
      <c r="K31" s="240">
        <f>SUM(K5:K30)</f>
        <v>32393.190000000006</v>
      </c>
    </row>
    <row r="32" spans="1:11" ht="14.25">
      <c r="A32" s="190">
        <v>2</v>
      </c>
      <c r="B32" s="2" t="s">
        <v>154</v>
      </c>
      <c r="C32" s="19"/>
      <c r="D32" s="19"/>
      <c r="E32" s="19"/>
      <c r="F32" s="19"/>
      <c r="G32" s="19"/>
      <c r="H32" s="19"/>
      <c r="I32" s="19"/>
      <c r="J32" s="14"/>
      <c r="K32" s="5"/>
    </row>
    <row r="33" spans="1:11" ht="14.25">
      <c r="A33" s="192"/>
      <c r="B33" s="169"/>
      <c r="C33" s="19"/>
      <c r="D33" s="19"/>
      <c r="E33" s="19"/>
      <c r="F33" s="19"/>
      <c r="G33" s="19"/>
      <c r="H33" s="19"/>
      <c r="I33" s="19"/>
      <c r="J33" s="14"/>
      <c r="K33" s="5"/>
    </row>
    <row r="34" spans="1:11" ht="14.25">
      <c r="A34" s="190">
        <v>2.1</v>
      </c>
      <c r="B34" s="2" t="s">
        <v>48</v>
      </c>
      <c r="C34" s="19"/>
      <c r="D34" s="19"/>
      <c r="E34" s="19"/>
      <c r="F34" s="19"/>
      <c r="G34" s="19"/>
      <c r="H34" s="19"/>
      <c r="I34" s="19"/>
      <c r="J34" s="14"/>
      <c r="K34" s="5"/>
    </row>
    <row r="35" spans="1:11">
      <c r="A35" s="190"/>
      <c r="B35" s="23"/>
      <c r="C35" s="19"/>
      <c r="D35" s="19"/>
      <c r="E35" s="19"/>
      <c r="F35" s="19"/>
      <c r="G35" s="19"/>
      <c r="H35" s="19"/>
      <c r="I35" s="19"/>
      <c r="J35" s="14"/>
      <c r="K35" s="5"/>
    </row>
    <row r="36" spans="1:11" ht="42" customHeight="1">
      <c r="A36" s="194">
        <v>2.11</v>
      </c>
      <c r="B36" s="21" t="s">
        <v>455</v>
      </c>
      <c r="C36" s="19" t="s">
        <v>13</v>
      </c>
      <c r="D36" s="274">
        <f>D4</f>
        <v>4.6500000000000004</v>
      </c>
      <c r="E36" s="274">
        <f>E4</f>
        <v>4</v>
      </c>
      <c r="F36" s="19"/>
      <c r="G36" s="19"/>
      <c r="H36" s="19"/>
      <c r="I36" s="458">
        <f>I38/G38</f>
        <v>11.34</v>
      </c>
      <c r="J36" s="14">
        <v>495</v>
      </c>
      <c r="K36" s="5">
        <f>I36*J36</f>
        <v>5613.3</v>
      </c>
    </row>
    <row r="37" spans="1:11" ht="14.25">
      <c r="A37" s="194"/>
      <c r="B37" s="21"/>
      <c r="C37" s="19"/>
      <c r="D37" s="19"/>
      <c r="E37" s="19"/>
      <c r="F37" s="68"/>
      <c r="G37" s="19"/>
      <c r="H37" s="19"/>
      <c r="I37" s="19"/>
      <c r="J37" s="14"/>
      <c r="K37" s="5"/>
    </row>
    <row r="38" spans="1:11" s="11" customFormat="1" ht="25.5">
      <c r="A38" s="194">
        <v>2.12</v>
      </c>
      <c r="B38" s="21" t="s">
        <v>198</v>
      </c>
      <c r="C38" s="19" t="s">
        <v>12</v>
      </c>
      <c r="D38" s="19">
        <f>D4+0.4</f>
        <v>5.0500000000000007</v>
      </c>
      <c r="E38" s="19">
        <f>E4+0.4</f>
        <v>4.4000000000000004</v>
      </c>
      <c r="F38" s="19">
        <v>0.6</v>
      </c>
      <c r="G38" s="19">
        <v>0.2</v>
      </c>
      <c r="H38" s="19"/>
      <c r="I38" s="458">
        <f>((D38*2)+(E38*2))*F38*G38</f>
        <v>2.2680000000000002</v>
      </c>
      <c r="J38" s="14">
        <v>13970</v>
      </c>
      <c r="K38" s="5">
        <f>I38*J38</f>
        <v>31683.960000000003</v>
      </c>
    </row>
    <row r="39" spans="1:11" s="11" customFormat="1" ht="14.25">
      <c r="A39" s="276"/>
      <c r="B39" s="277"/>
      <c r="C39" s="87"/>
      <c r="D39" s="278"/>
      <c r="E39" s="84"/>
      <c r="F39" s="84"/>
      <c r="G39" s="84"/>
      <c r="H39" s="84"/>
      <c r="I39" s="87"/>
      <c r="J39" s="279"/>
      <c r="K39" s="280"/>
    </row>
    <row r="40" spans="1:11" ht="38.25" customHeight="1">
      <c r="A40" s="194">
        <v>2.13</v>
      </c>
      <c r="B40" s="21" t="s">
        <v>459</v>
      </c>
      <c r="C40" s="19" t="s">
        <v>12</v>
      </c>
      <c r="D40" s="274">
        <f>D4</f>
        <v>4.6500000000000004</v>
      </c>
      <c r="E40" s="274">
        <f>E4</f>
        <v>4</v>
      </c>
      <c r="F40" s="19">
        <v>0.15</v>
      </c>
      <c r="G40" s="19"/>
      <c r="H40" s="19"/>
      <c r="I40" s="458">
        <f>D40*E40*F40</f>
        <v>2.79</v>
      </c>
      <c r="J40" s="14">
        <v>13970</v>
      </c>
      <c r="K40" s="5">
        <f>I40*J40</f>
        <v>38976.300000000003</v>
      </c>
    </row>
    <row r="41" spans="1:11" ht="12.75" customHeight="1">
      <c r="A41" s="194"/>
      <c r="B41" s="21"/>
      <c r="C41" s="19"/>
      <c r="D41" s="19"/>
      <c r="E41" s="19"/>
      <c r="F41" s="68"/>
      <c r="G41" s="19"/>
      <c r="H41" s="19"/>
      <c r="I41" s="19"/>
      <c r="J41" s="14"/>
      <c r="K41" s="5"/>
    </row>
    <row r="42" spans="1:11" ht="14.25">
      <c r="A42" s="192">
        <v>2.2000000000000002</v>
      </c>
      <c r="B42" s="171" t="s">
        <v>82</v>
      </c>
      <c r="C42" s="19"/>
      <c r="D42" s="19"/>
      <c r="E42" s="19"/>
      <c r="F42" s="19"/>
      <c r="G42" s="19"/>
      <c r="H42" s="19"/>
      <c r="I42" s="19"/>
      <c r="J42" s="14"/>
      <c r="K42" s="5"/>
    </row>
    <row r="43" spans="1:11" ht="14.25">
      <c r="A43" s="192"/>
      <c r="B43" s="171"/>
      <c r="C43" s="19"/>
      <c r="D43" s="19"/>
      <c r="E43" s="19"/>
      <c r="F43" s="19"/>
      <c r="G43" s="19"/>
      <c r="H43" s="19"/>
      <c r="I43" s="19"/>
      <c r="J43" s="14"/>
      <c r="K43" s="5"/>
    </row>
    <row r="44" spans="1:11" ht="53.25" customHeight="1">
      <c r="A44" s="194">
        <v>2.21</v>
      </c>
      <c r="B44" s="170" t="s">
        <v>462</v>
      </c>
      <c r="C44" s="19" t="s">
        <v>37</v>
      </c>
      <c r="D44" s="274">
        <f>D4</f>
        <v>4.6500000000000004</v>
      </c>
      <c r="E44" s="274">
        <f>E4</f>
        <v>4</v>
      </c>
      <c r="F44" s="19"/>
      <c r="G44" s="19"/>
      <c r="H44" s="19"/>
      <c r="I44" s="19">
        <f>(D44*E44)</f>
        <v>18.600000000000001</v>
      </c>
      <c r="J44" s="14">
        <v>450</v>
      </c>
      <c r="K44" s="5">
        <f>I44*J44</f>
        <v>8370</v>
      </c>
    </row>
    <row r="45" spans="1:11" ht="14.25">
      <c r="A45" s="194"/>
      <c r="B45" s="170"/>
      <c r="C45" s="19"/>
      <c r="D45" s="19"/>
      <c r="E45" s="19"/>
      <c r="F45" s="19"/>
      <c r="G45" s="19"/>
      <c r="H45" s="19"/>
      <c r="I45" s="19"/>
      <c r="J45" s="14"/>
      <c r="K45" s="5"/>
    </row>
    <row r="46" spans="1:11" ht="12.75" customHeight="1">
      <c r="A46" s="194">
        <v>2.2200000000000002</v>
      </c>
      <c r="B46" s="170" t="s">
        <v>45</v>
      </c>
      <c r="C46" s="19" t="s">
        <v>38</v>
      </c>
      <c r="D46" s="19"/>
      <c r="E46" s="19"/>
      <c r="F46" s="19"/>
      <c r="G46" s="19"/>
      <c r="H46" s="28" t="s">
        <v>84</v>
      </c>
      <c r="I46" s="458">
        <v>74.539390794479928</v>
      </c>
      <c r="J46" s="14">
        <v>150</v>
      </c>
      <c r="K46" s="5">
        <f>I46*J46</f>
        <v>11180.908619171989</v>
      </c>
    </row>
    <row r="47" spans="1:11" ht="14.25">
      <c r="A47" s="194"/>
      <c r="B47" s="170"/>
      <c r="C47" s="19"/>
      <c r="D47" s="19"/>
      <c r="E47" s="19"/>
      <c r="F47" s="19"/>
      <c r="G47" s="19"/>
      <c r="H47" s="19"/>
      <c r="I47" s="19"/>
      <c r="J47" s="14"/>
      <c r="K47" s="5"/>
    </row>
    <row r="48" spans="1:11" ht="14.25">
      <c r="A48" s="192">
        <v>2.2999999999999998</v>
      </c>
      <c r="B48" s="171" t="s">
        <v>39</v>
      </c>
      <c r="C48" s="19"/>
      <c r="D48" s="20"/>
      <c r="E48" s="20"/>
      <c r="F48" s="20"/>
      <c r="G48" s="20"/>
      <c r="H48" s="20"/>
      <c r="I48" s="20"/>
      <c r="J48" s="20"/>
      <c r="K48" s="5"/>
    </row>
    <row r="49" spans="1:12" ht="14.25">
      <c r="A49" s="194"/>
      <c r="B49" s="172"/>
      <c r="C49" s="79"/>
      <c r="D49" s="19"/>
      <c r="E49" s="19"/>
      <c r="F49" s="19"/>
      <c r="G49" s="19"/>
      <c r="H49" s="19"/>
      <c r="I49" s="19"/>
      <c r="J49" s="14"/>
      <c r="K49" s="5"/>
    </row>
    <row r="50" spans="1:12" ht="27.75" customHeight="1">
      <c r="A50" s="194">
        <v>2.31</v>
      </c>
      <c r="B50" s="170" t="s">
        <v>40</v>
      </c>
      <c r="C50" s="78"/>
      <c r="D50" s="19"/>
      <c r="E50" s="19"/>
      <c r="F50" s="19"/>
      <c r="G50" s="19"/>
      <c r="H50" s="19"/>
      <c r="I50" s="19"/>
      <c r="J50" s="14"/>
      <c r="K50" s="5"/>
    </row>
    <row r="51" spans="1:12" ht="14.25">
      <c r="A51" s="276"/>
      <c r="B51" s="176"/>
      <c r="C51" s="282"/>
      <c r="D51" s="87"/>
      <c r="E51" s="87"/>
      <c r="F51" s="283"/>
      <c r="G51" s="87"/>
      <c r="H51" s="283"/>
      <c r="I51" s="87"/>
      <c r="J51" s="279"/>
      <c r="K51" s="280"/>
    </row>
    <row r="52" spans="1:12" ht="14.25">
      <c r="A52" s="194">
        <v>2.3199999999999998</v>
      </c>
      <c r="B52" s="170" t="s">
        <v>121</v>
      </c>
      <c r="C52" s="78" t="s">
        <v>3</v>
      </c>
      <c r="D52" s="19">
        <f>D4</f>
        <v>4.6500000000000004</v>
      </c>
      <c r="E52" s="19">
        <f>E4</f>
        <v>4</v>
      </c>
      <c r="F52" s="274"/>
      <c r="G52" s="19"/>
      <c r="H52" s="19"/>
      <c r="I52" s="19">
        <f>(D52*2)+(E52*2)</f>
        <v>17.3</v>
      </c>
      <c r="J52" s="14">
        <v>250</v>
      </c>
      <c r="K52" s="5">
        <f>I52*J52</f>
        <v>4325</v>
      </c>
    </row>
    <row r="53" spans="1:12" ht="14.25">
      <c r="A53" s="194"/>
      <c r="B53" s="170"/>
      <c r="C53" s="282"/>
      <c r="D53" s="87"/>
      <c r="E53" s="87"/>
      <c r="F53" s="283"/>
      <c r="G53" s="87"/>
      <c r="H53" s="87"/>
      <c r="I53" s="87"/>
      <c r="J53" s="279"/>
      <c r="K53" s="280"/>
    </row>
    <row r="54" spans="1:12" s="154" customFormat="1">
      <c r="A54" s="509" t="s">
        <v>102</v>
      </c>
      <c r="B54" s="510"/>
      <c r="C54" s="510"/>
      <c r="D54" s="510"/>
      <c r="E54" s="510"/>
      <c r="F54" s="510"/>
      <c r="G54" s="510"/>
      <c r="H54" s="510"/>
      <c r="I54" s="510"/>
      <c r="J54" s="511"/>
      <c r="K54" s="263">
        <f>SUM(K33:K53)</f>
        <v>100149.46861917198</v>
      </c>
    </row>
    <row r="55" spans="1:12" s="11" customFormat="1" ht="14.25">
      <c r="A55" s="119"/>
      <c r="B55" s="120"/>
      <c r="C55" s="112"/>
      <c r="D55" s="113"/>
      <c r="E55" s="113"/>
      <c r="F55" s="113"/>
      <c r="G55" s="113"/>
      <c r="H55" s="113"/>
      <c r="I55" s="112"/>
      <c r="J55" s="117"/>
      <c r="K55" s="118"/>
    </row>
    <row r="56" spans="1:12" ht="19.5" customHeight="1">
      <c r="A56" s="192">
        <v>3</v>
      </c>
      <c r="B56" s="243" t="s">
        <v>42</v>
      </c>
      <c r="C56" s="79"/>
      <c r="D56" s="20"/>
      <c r="E56" s="20"/>
      <c r="F56" s="20"/>
      <c r="G56" s="20"/>
      <c r="H56" s="20"/>
      <c r="I56" s="20"/>
      <c r="J56" s="20"/>
      <c r="K56" s="5"/>
    </row>
    <row r="57" spans="1:12" ht="14.25">
      <c r="A57" s="192"/>
      <c r="B57" s="170"/>
      <c r="C57" s="19"/>
      <c r="D57" s="19"/>
      <c r="E57" s="19"/>
      <c r="F57" s="19"/>
      <c r="G57" s="19"/>
      <c r="H57" s="19"/>
      <c r="I57" s="19"/>
      <c r="J57" s="14"/>
      <c r="K57" s="5"/>
    </row>
    <row r="58" spans="1:12" ht="14.25">
      <c r="A58" s="192">
        <v>3.1</v>
      </c>
      <c r="B58" s="171" t="s">
        <v>188</v>
      </c>
      <c r="C58" s="19"/>
      <c r="D58" s="19"/>
      <c r="E58" s="19"/>
      <c r="F58" s="19"/>
      <c r="G58" s="19"/>
      <c r="H58" s="19"/>
      <c r="I58" s="19"/>
      <c r="J58" s="14"/>
      <c r="K58" s="5"/>
    </row>
    <row r="59" spans="1:12" ht="14.25">
      <c r="A59" s="192"/>
      <c r="B59" s="170"/>
      <c r="C59" s="19"/>
      <c r="D59" s="19"/>
      <c r="E59" s="19"/>
      <c r="F59" s="19"/>
      <c r="G59" s="19"/>
      <c r="H59" s="19"/>
      <c r="I59" s="19"/>
      <c r="J59" s="14"/>
      <c r="K59" s="5"/>
    </row>
    <row r="60" spans="1:12" ht="38.25">
      <c r="A60" s="194"/>
      <c r="B60" s="170" t="s">
        <v>259</v>
      </c>
      <c r="C60" s="19"/>
      <c r="D60" s="19"/>
      <c r="E60" s="19"/>
      <c r="F60" s="19"/>
      <c r="G60" s="19"/>
      <c r="H60" s="19"/>
      <c r="I60" s="19"/>
      <c r="J60" s="14"/>
      <c r="K60" s="5"/>
    </row>
    <row r="61" spans="1:12" ht="14.25">
      <c r="A61" s="192"/>
      <c r="B61" s="170"/>
      <c r="C61" s="19"/>
      <c r="D61" s="19"/>
      <c r="E61" s="19"/>
      <c r="F61" s="19"/>
      <c r="G61" s="19"/>
      <c r="H61" s="19"/>
      <c r="I61" s="19"/>
      <c r="J61" s="14"/>
      <c r="K61" s="5"/>
    </row>
    <row r="62" spans="1:12" ht="14.25">
      <c r="A62" s="194">
        <v>3.11</v>
      </c>
      <c r="B62" s="206" t="s">
        <v>407</v>
      </c>
      <c r="C62" s="19" t="s">
        <v>77</v>
      </c>
      <c r="D62" s="100">
        <f>(D4*2)+(E4*3)</f>
        <v>21.3</v>
      </c>
      <c r="E62" s="100">
        <v>2.1</v>
      </c>
      <c r="F62" s="8"/>
      <c r="G62" s="28">
        <f>D62*E62</f>
        <v>44.730000000000004</v>
      </c>
      <c r="H62" s="100" t="s">
        <v>150</v>
      </c>
      <c r="I62" s="460">
        <f>G62+G63</f>
        <v>51.477000000000004</v>
      </c>
      <c r="J62" s="14">
        <v>2200</v>
      </c>
      <c r="K62" s="5">
        <f>G62*J62</f>
        <v>98406.000000000015</v>
      </c>
      <c r="L62" s="66"/>
    </row>
    <row r="63" spans="1:12" ht="14.25">
      <c r="A63" s="194"/>
      <c r="B63" s="206"/>
      <c r="C63" s="28"/>
      <c r="D63" s="100">
        <f>D4</f>
        <v>4.6500000000000004</v>
      </c>
      <c r="E63" s="28">
        <v>0.78</v>
      </c>
      <c r="F63" s="100">
        <f>E4</f>
        <v>4</v>
      </c>
      <c r="G63" s="340">
        <f>(D63*E63)+(F63*E63)</f>
        <v>6.7469999999999999</v>
      </c>
      <c r="H63" s="28"/>
      <c r="I63" s="28"/>
      <c r="J63" s="28"/>
      <c r="K63" s="5"/>
      <c r="L63" s="66"/>
    </row>
    <row r="64" spans="1:12" ht="15.75">
      <c r="A64" s="194">
        <v>3.12</v>
      </c>
      <c r="B64" s="170" t="s">
        <v>122</v>
      </c>
      <c r="C64" s="19" t="s">
        <v>37</v>
      </c>
      <c r="D64" s="100">
        <f>D4</f>
        <v>4.6500000000000004</v>
      </c>
      <c r="E64" s="100">
        <f>E4</f>
        <v>4</v>
      </c>
      <c r="F64" s="20">
        <f>1-0.2</f>
        <v>0.8</v>
      </c>
      <c r="G64" s="20"/>
      <c r="H64" s="334" t="s">
        <v>151</v>
      </c>
      <c r="I64" s="460">
        <f>((D64*2)+(E64*2))*F64</f>
        <v>13.840000000000002</v>
      </c>
      <c r="J64" s="14">
        <v>2200</v>
      </c>
      <c r="K64" s="5">
        <f>I64*J64</f>
        <v>30448.000000000004</v>
      </c>
    </row>
    <row r="65" spans="1:11" ht="14.25">
      <c r="A65" s="284"/>
      <c r="B65" s="281"/>
      <c r="C65" s="19"/>
      <c r="D65" s="19"/>
      <c r="E65" s="19"/>
      <c r="F65" s="19"/>
      <c r="G65" s="19"/>
      <c r="H65" s="19"/>
      <c r="I65" s="19"/>
      <c r="J65" s="14"/>
      <c r="K65" s="5"/>
    </row>
    <row r="66" spans="1:11" ht="14.25">
      <c r="A66" s="192">
        <v>3.2</v>
      </c>
      <c r="B66" s="171" t="s">
        <v>176</v>
      </c>
      <c r="C66" s="19"/>
      <c r="D66" s="19"/>
      <c r="E66" s="19"/>
      <c r="F66" s="19"/>
      <c r="G66" s="19"/>
      <c r="H66" s="19"/>
      <c r="I66" s="19"/>
      <c r="J66" s="14"/>
      <c r="K66" s="5"/>
    </row>
    <row r="67" spans="1:11" ht="14.25">
      <c r="A67" s="192"/>
      <c r="B67" s="170"/>
      <c r="C67" s="19"/>
      <c r="D67" s="19"/>
      <c r="E67" s="19"/>
      <c r="F67" s="19"/>
      <c r="G67" s="19"/>
      <c r="H67" s="19"/>
      <c r="I67" s="19"/>
      <c r="J67" s="14"/>
      <c r="K67" s="5"/>
    </row>
    <row r="68" spans="1:11" ht="15.75">
      <c r="A68" s="25">
        <v>3.21</v>
      </c>
      <c r="B68" s="285" t="s">
        <v>439</v>
      </c>
      <c r="C68" s="19" t="s">
        <v>37</v>
      </c>
      <c r="D68" s="20">
        <f>D4</f>
        <v>4.6500000000000004</v>
      </c>
      <c r="E68" s="20">
        <f>E4</f>
        <v>4</v>
      </c>
      <c r="F68" s="20"/>
      <c r="G68" s="20"/>
      <c r="H68" s="20"/>
      <c r="I68" s="261">
        <f>D68*E68</f>
        <v>18.600000000000001</v>
      </c>
      <c r="J68" s="14">
        <v>200</v>
      </c>
      <c r="K68" s="5">
        <f>I68*J68</f>
        <v>3720.0000000000005</v>
      </c>
    </row>
    <row r="69" spans="1:11" ht="14.25">
      <c r="A69" s="192"/>
      <c r="B69" s="173"/>
      <c r="C69" s="19"/>
      <c r="D69" s="19"/>
      <c r="E69" s="19"/>
      <c r="F69" s="19"/>
      <c r="G69" s="19"/>
      <c r="H69" s="19"/>
      <c r="I69" s="19"/>
      <c r="J69" s="14"/>
      <c r="K69" s="5"/>
    </row>
    <row r="70" spans="1:11" ht="14.25">
      <c r="A70" s="25">
        <v>3.22</v>
      </c>
      <c r="B70" s="173" t="s">
        <v>61</v>
      </c>
      <c r="C70" s="19" t="s">
        <v>3</v>
      </c>
      <c r="D70" s="19">
        <f>D4</f>
        <v>4.6500000000000004</v>
      </c>
      <c r="E70" s="19">
        <f>E4</f>
        <v>4</v>
      </c>
      <c r="F70" s="19"/>
      <c r="G70" s="19"/>
      <c r="H70" s="19"/>
      <c r="I70" s="274">
        <f>(D70*2)+(E70*2)</f>
        <v>17.3</v>
      </c>
      <c r="J70" s="14">
        <v>135</v>
      </c>
      <c r="K70" s="5">
        <f>I70*J70</f>
        <v>2335.5</v>
      </c>
    </row>
    <row r="71" spans="1:11" ht="14.25">
      <c r="A71" s="192"/>
      <c r="B71" s="170"/>
      <c r="C71" s="19"/>
      <c r="D71" s="19"/>
      <c r="E71" s="19"/>
      <c r="F71" s="19"/>
      <c r="G71" s="19"/>
      <c r="H71" s="19"/>
      <c r="I71" s="19"/>
      <c r="J71" s="14"/>
      <c r="K71" s="5"/>
    </row>
    <row r="72" spans="1:11" ht="14.25">
      <c r="A72" s="192">
        <v>3.3</v>
      </c>
      <c r="B72" s="171" t="s">
        <v>445</v>
      </c>
      <c r="C72" s="19"/>
      <c r="D72" s="19"/>
      <c r="E72" s="19"/>
      <c r="F72" s="19"/>
      <c r="G72" s="19"/>
      <c r="H72" s="19"/>
      <c r="I72" s="19"/>
      <c r="J72" s="14"/>
      <c r="K72" s="5"/>
    </row>
    <row r="73" spans="1:11" ht="14.25">
      <c r="A73" s="192"/>
      <c r="B73" s="175"/>
      <c r="C73" s="19"/>
      <c r="D73" s="19"/>
      <c r="E73" s="19"/>
      <c r="F73" s="19"/>
      <c r="G73" s="19"/>
      <c r="H73" s="19"/>
      <c r="I73" s="19"/>
      <c r="J73" s="14"/>
      <c r="K73" s="5"/>
    </row>
    <row r="74" spans="1:11" ht="25.5">
      <c r="A74" s="194">
        <v>3.31</v>
      </c>
      <c r="B74" s="286" t="s">
        <v>406</v>
      </c>
      <c r="C74" s="19" t="s">
        <v>37</v>
      </c>
      <c r="D74" s="19">
        <f>D4*E62*2</f>
        <v>19.53</v>
      </c>
      <c r="E74" s="19">
        <f>E4*E62*4</f>
        <v>33.6</v>
      </c>
      <c r="F74" s="19">
        <f>E63*E4*2</f>
        <v>6.24</v>
      </c>
      <c r="G74" s="19">
        <f>D91*E63</f>
        <v>3.6270000000000002</v>
      </c>
      <c r="H74" s="274"/>
      <c r="I74" s="458">
        <f>SUM(D74:G74)+G63</f>
        <v>69.744</v>
      </c>
      <c r="J74" s="14">
        <v>320</v>
      </c>
      <c r="K74" s="5">
        <f>I74*J74</f>
        <v>22318.080000000002</v>
      </c>
    </row>
    <row r="75" spans="1:11" ht="14.25">
      <c r="A75" s="122"/>
      <c r="B75" s="165"/>
      <c r="C75" s="112"/>
      <c r="D75" s="125"/>
      <c r="E75" s="125"/>
      <c r="F75" s="125"/>
      <c r="G75" s="125"/>
      <c r="H75" s="125"/>
      <c r="I75" s="124"/>
      <c r="J75" s="117"/>
      <c r="K75" s="118"/>
    </row>
    <row r="76" spans="1:11" s="154" customFormat="1">
      <c r="A76" s="487" t="s">
        <v>103</v>
      </c>
      <c r="B76" s="488"/>
      <c r="C76" s="488"/>
      <c r="D76" s="488"/>
      <c r="E76" s="488"/>
      <c r="F76" s="488"/>
      <c r="G76" s="488"/>
      <c r="H76" s="488"/>
      <c r="I76" s="488"/>
      <c r="J76" s="489"/>
      <c r="K76" s="240">
        <f>SUM(K55:K74)</f>
        <v>157227.58000000002</v>
      </c>
    </row>
    <row r="77" spans="1:11" ht="14.25">
      <c r="A77" s="190">
        <v>4</v>
      </c>
      <c r="B77" s="2" t="s">
        <v>155</v>
      </c>
      <c r="C77" s="19"/>
      <c r="D77" s="19"/>
      <c r="E77" s="19"/>
      <c r="F77" s="19"/>
      <c r="G77" s="19"/>
      <c r="H77" s="19"/>
      <c r="I77" s="19"/>
      <c r="J77" s="14"/>
      <c r="K77" s="5"/>
    </row>
    <row r="78" spans="1:11" ht="14.25">
      <c r="A78" s="192"/>
      <c r="B78" s="169"/>
      <c r="C78" s="19"/>
      <c r="D78" s="19"/>
      <c r="E78" s="19"/>
      <c r="F78" s="19"/>
      <c r="G78" s="19"/>
      <c r="H78" s="19"/>
      <c r="I78" s="19"/>
      <c r="J78" s="14"/>
      <c r="K78" s="5"/>
    </row>
    <row r="79" spans="1:11" ht="14.25">
      <c r="A79" s="190">
        <v>4.0999999999999996</v>
      </c>
      <c r="B79" s="2" t="s">
        <v>48</v>
      </c>
      <c r="C79" s="19"/>
      <c r="D79" s="19"/>
      <c r="E79" s="19"/>
      <c r="F79" s="19"/>
      <c r="G79" s="19"/>
      <c r="H79" s="19"/>
      <c r="I79" s="19"/>
      <c r="J79" s="14"/>
      <c r="K79" s="5"/>
    </row>
    <row r="80" spans="1:11">
      <c r="A80" s="190"/>
      <c r="B80" s="23"/>
      <c r="C80" s="19"/>
      <c r="D80" s="19"/>
      <c r="E80" s="19"/>
      <c r="F80" s="19"/>
      <c r="G80" s="19"/>
      <c r="H80" s="19"/>
      <c r="I80" s="19"/>
      <c r="J80" s="14"/>
      <c r="K80" s="5"/>
    </row>
    <row r="81" spans="1:12" ht="25.5">
      <c r="A81" s="194">
        <v>4.1100000000000003</v>
      </c>
      <c r="B81" s="21" t="s">
        <v>195</v>
      </c>
      <c r="C81" s="19" t="s">
        <v>12</v>
      </c>
      <c r="D81" s="19">
        <f>D4</f>
        <v>4.6500000000000004</v>
      </c>
      <c r="E81" s="19">
        <f>E4</f>
        <v>4</v>
      </c>
      <c r="F81" s="19">
        <v>0.15</v>
      </c>
      <c r="G81" s="19">
        <v>0.25</v>
      </c>
      <c r="H81" s="19"/>
      <c r="I81" s="458">
        <f>((D81*2)+(E81*3))*F81*G81</f>
        <v>0.79874999999999996</v>
      </c>
      <c r="J81" s="14">
        <v>13970</v>
      </c>
      <c r="K81" s="5">
        <f>I81*J81</f>
        <v>11158.537499999999</v>
      </c>
    </row>
    <row r="82" spans="1:12" s="11" customFormat="1" ht="14.25">
      <c r="A82" s="276"/>
      <c r="B82" s="277"/>
      <c r="C82" s="87"/>
      <c r="D82" s="278"/>
      <c r="E82" s="84"/>
      <c r="F82" s="84"/>
      <c r="G82" s="84"/>
      <c r="H82" s="84"/>
      <c r="I82" s="87"/>
      <c r="J82" s="279"/>
      <c r="K82" s="280"/>
    </row>
    <row r="83" spans="1:12" ht="14.25">
      <c r="A83" s="192">
        <v>4.2</v>
      </c>
      <c r="B83" s="171" t="s">
        <v>82</v>
      </c>
      <c r="C83" s="19"/>
      <c r="D83" s="19"/>
      <c r="E83" s="19"/>
      <c r="F83" s="19"/>
      <c r="G83" s="19"/>
      <c r="H83" s="19"/>
      <c r="I83" s="19"/>
      <c r="J83" s="14"/>
      <c r="K83" s="5"/>
    </row>
    <row r="84" spans="1:12" ht="14.25">
      <c r="A84" s="192"/>
      <c r="B84" s="171"/>
      <c r="C84" s="19"/>
      <c r="D84" s="19"/>
      <c r="E84" s="19"/>
      <c r="F84" s="19"/>
      <c r="G84" s="19"/>
      <c r="H84" s="19"/>
      <c r="I84" s="19"/>
      <c r="J84" s="14"/>
      <c r="K84" s="5"/>
    </row>
    <row r="85" spans="1:12" ht="12.75" customHeight="1">
      <c r="A85" s="194">
        <v>4.21</v>
      </c>
      <c r="B85" s="170" t="s">
        <v>45</v>
      </c>
      <c r="C85" s="19" t="s">
        <v>38</v>
      </c>
      <c r="D85" s="19"/>
      <c r="E85" s="19"/>
      <c r="F85" s="19"/>
      <c r="G85" s="19"/>
      <c r="H85" s="28" t="s">
        <v>84</v>
      </c>
      <c r="I85" s="461">
        <v>236</v>
      </c>
      <c r="J85" s="14">
        <v>150</v>
      </c>
      <c r="K85" s="5">
        <f>I85*J85</f>
        <v>35400</v>
      </c>
    </row>
    <row r="86" spans="1:12" ht="14.25">
      <c r="A86" s="194"/>
      <c r="B86" s="170"/>
      <c r="C86" s="19"/>
      <c r="D86" s="19"/>
      <c r="E86" s="19"/>
      <c r="F86" s="19"/>
      <c r="G86" s="19"/>
      <c r="H86" s="19"/>
      <c r="I86" s="19"/>
      <c r="J86" s="14"/>
      <c r="K86" s="5"/>
    </row>
    <row r="87" spans="1:12" ht="14.25">
      <c r="A87" s="192">
        <v>4.3</v>
      </c>
      <c r="B87" s="171" t="s">
        <v>39</v>
      </c>
      <c r="C87" s="19"/>
      <c r="D87" s="20"/>
      <c r="E87" s="20"/>
      <c r="F87" s="20"/>
      <c r="G87" s="20"/>
      <c r="H87" s="20"/>
      <c r="I87" s="20"/>
      <c r="J87" s="20"/>
      <c r="K87" s="5"/>
    </row>
    <row r="88" spans="1:12" ht="14.25">
      <c r="A88" s="194"/>
      <c r="B88" s="172"/>
      <c r="C88" s="79"/>
      <c r="D88" s="19"/>
      <c r="E88" s="19"/>
      <c r="F88" s="19"/>
      <c r="G88" s="19"/>
      <c r="H88" s="19"/>
      <c r="I88" s="19"/>
      <c r="J88" s="14"/>
      <c r="K88" s="5"/>
    </row>
    <row r="89" spans="1:12" ht="27.75" customHeight="1">
      <c r="A89" s="194"/>
      <c r="B89" s="170" t="s">
        <v>356</v>
      </c>
      <c r="C89" s="78"/>
      <c r="D89" s="19"/>
      <c r="E89" s="19"/>
      <c r="F89" s="19"/>
      <c r="G89" s="19"/>
      <c r="H89" s="19"/>
      <c r="I89" s="19"/>
      <c r="J89" s="14"/>
      <c r="K89" s="5"/>
    </row>
    <row r="90" spans="1:12" ht="14.25">
      <c r="A90" s="276"/>
      <c r="B90" s="176"/>
      <c r="C90" s="282"/>
      <c r="D90" s="87"/>
      <c r="E90" s="87"/>
      <c r="F90" s="283"/>
      <c r="G90" s="87"/>
      <c r="H90" s="283"/>
      <c r="I90" s="87"/>
      <c r="J90" s="279"/>
      <c r="K90" s="280"/>
    </row>
    <row r="91" spans="1:12" ht="14.25">
      <c r="A91" s="194">
        <v>4.3099999999999996</v>
      </c>
      <c r="B91" s="281" t="s">
        <v>125</v>
      </c>
      <c r="C91" s="19" t="s">
        <v>3</v>
      </c>
      <c r="D91" s="19">
        <f>D4</f>
        <v>4.6500000000000004</v>
      </c>
      <c r="E91" s="19">
        <f>E38</f>
        <v>4.4000000000000004</v>
      </c>
      <c r="F91" s="19"/>
      <c r="G91" s="19"/>
      <c r="H91" s="76"/>
      <c r="I91" s="19">
        <f>2*((D91*2)+(E91*3))</f>
        <v>45</v>
      </c>
      <c r="J91" s="14">
        <v>250</v>
      </c>
      <c r="K91" s="5">
        <f>I91*J91</f>
        <v>11250</v>
      </c>
      <c r="L91" s="66"/>
    </row>
    <row r="92" spans="1:12" ht="16.5" customHeight="1">
      <c r="A92" s="202"/>
      <c r="B92" s="206"/>
      <c r="C92" s="282"/>
      <c r="D92" s="87"/>
      <c r="E92" s="87"/>
      <c r="F92" s="283"/>
      <c r="G92" s="87"/>
      <c r="H92" s="290"/>
      <c r="I92" s="87"/>
      <c r="J92" s="87"/>
      <c r="K92" s="280"/>
      <c r="L92" s="66"/>
    </row>
    <row r="93" spans="1:12" s="154" customFormat="1">
      <c r="A93" s="509" t="s">
        <v>104</v>
      </c>
      <c r="B93" s="510"/>
      <c r="C93" s="510"/>
      <c r="D93" s="510"/>
      <c r="E93" s="510"/>
      <c r="F93" s="510"/>
      <c r="G93" s="510"/>
      <c r="H93" s="510"/>
      <c r="I93" s="510"/>
      <c r="J93" s="511"/>
      <c r="K93" s="350">
        <f>SUM(K78:K92)</f>
        <v>57808.537499999999</v>
      </c>
    </row>
    <row r="94" spans="1:12">
      <c r="A94" s="201"/>
      <c r="B94" s="23"/>
      <c r="C94" s="28"/>
      <c r="D94" s="28"/>
      <c r="E94" s="28"/>
      <c r="F94" s="28"/>
      <c r="G94" s="28"/>
      <c r="H94" s="28"/>
      <c r="I94" s="28"/>
      <c r="J94" s="28"/>
      <c r="K94" s="5"/>
    </row>
    <row r="95" spans="1:12" s="11" customFormat="1" ht="14.25">
      <c r="A95" s="119">
        <v>5</v>
      </c>
      <c r="B95" s="136" t="s">
        <v>14</v>
      </c>
      <c r="C95" s="112"/>
      <c r="D95" s="123"/>
      <c r="E95" s="123"/>
      <c r="F95" s="123"/>
      <c r="G95" s="123"/>
      <c r="H95" s="123"/>
      <c r="I95" s="124"/>
      <c r="J95" s="123"/>
      <c r="K95" s="118"/>
    </row>
    <row r="96" spans="1:12" s="11" customFormat="1" ht="14.25">
      <c r="A96" s="119"/>
      <c r="B96" s="123"/>
      <c r="C96" s="112"/>
      <c r="D96" s="113"/>
      <c r="E96" s="113"/>
      <c r="F96" s="113"/>
      <c r="G96" s="113"/>
      <c r="H96" s="113"/>
      <c r="I96" s="112"/>
      <c r="J96" s="117"/>
      <c r="K96" s="118"/>
    </row>
    <row r="97" spans="1:11" ht="14.25" hidden="1">
      <c r="A97" s="194"/>
      <c r="B97" s="174"/>
      <c r="C97" s="28"/>
      <c r="D97" s="28"/>
      <c r="E97" s="28"/>
      <c r="F97" s="28"/>
      <c r="G97" s="28"/>
      <c r="H97" s="28"/>
      <c r="I97" s="28"/>
      <c r="J97" s="28"/>
      <c r="K97" s="5">
        <f>I97*J97</f>
        <v>0</v>
      </c>
    </row>
    <row r="98" spans="1:11" ht="14.25" hidden="1">
      <c r="A98" s="276"/>
      <c r="B98" s="174"/>
      <c r="C98" s="28"/>
      <c r="D98" s="28"/>
      <c r="E98" s="28"/>
      <c r="F98" s="28"/>
      <c r="G98" s="28"/>
      <c r="H98" s="28"/>
      <c r="I98" s="28"/>
      <c r="J98" s="28"/>
      <c r="K98" s="5">
        <f>I98*J98</f>
        <v>0</v>
      </c>
    </row>
    <row r="99" spans="1:11" ht="14.25">
      <c r="A99" s="192">
        <v>5.0999999999999996</v>
      </c>
      <c r="B99" s="211" t="s">
        <v>85</v>
      </c>
      <c r="C99" s="28"/>
      <c r="D99" s="28"/>
      <c r="E99" s="28"/>
      <c r="F99" s="28"/>
      <c r="G99" s="28"/>
      <c r="H99" s="28"/>
      <c r="I99" s="28"/>
      <c r="J99" s="28"/>
      <c r="K99" s="5"/>
    </row>
    <row r="100" spans="1:11" ht="14.25">
      <c r="A100" s="202"/>
      <c r="B100" s="211"/>
      <c r="C100" s="28"/>
      <c r="D100" s="28"/>
      <c r="E100" s="28"/>
      <c r="F100" s="28"/>
      <c r="G100" s="28"/>
      <c r="H100" s="28"/>
      <c r="I100" s="28"/>
      <c r="J100" s="28"/>
      <c r="K100" s="5"/>
    </row>
    <row r="101" spans="1:11" ht="38.25">
      <c r="A101" s="194">
        <v>5.1100000000000003</v>
      </c>
      <c r="B101" s="174" t="s">
        <v>408</v>
      </c>
      <c r="C101" s="28" t="s">
        <v>279</v>
      </c>
      <c r="D101" s="28"/>
      <c r="E101" s="28"/>
      <c r="F101" s="28"/>
      <c r="G101" s="28"/>
      <c r="H101" s="28"/>
      <c r="I101" s="28" t="s">
        <v>124</v>
      </c>
      <c r="J101" s="14">
        <v>2000</v>
      </c>
      <c r="K101" s="5">
        <f>J101</f>
        <v>2000</v>
      </c>
    </row>
    <row r="102" spans="1:11" ht="14.25">
      <c r="A102" s="202"/>
      <c r="B102" s="211"/>
      <c r="C102" s="28"/>
      <c r="D102" s="28"/>
      <c r="E102" s="28"/>
      <c r="F102" s="28"/>
      <c r="G102" s="28"/>
      <c r="H102" s="28"/>
      <c r="I102" s="28"/>
      <c r="J102" s="28"/>
      <c r="K102" s="5"/>
    </row>
    <row r="103" spans="1:11" ht="25.5">
      <c r="A103" s="445">
        <v>5.12</v>
      </c>
      <c r="B103" s="454" t="s">
        <v>280</v>
      </c>
      <c r="C103" s="455" t="s">
        <v>3</v>
      </c>
      <c r="D103" s="455"/>
      <c r="E103" s="455"/>
      <c r="F103" s="455"/>
      <c r="G103" s="455"/>
      <c r="H103" s="455"/>
      <c r="I103" s="455">
        <v>10</v>
      </c>
      <c r="J103" s="449">
        <v>500</v>
      </c>
      <c r="K103" s="450">
        <f>I103*J103</f>
        <v>5000</v>
      </c>
    </row>
    <row r="104" spans="1:11" ht="14.25">
      <c r="A104" s="276"/>
      <c r="B104" s="174"/>
      <c r="C104" s="28"/>
      <c r="D104" s="28"/>
      <c r="E104" s="28"/>
      <c r="F104" s="28"/>
      <c r="G104" s="28"/>
      <c r="H104" s="28"/>
      <c r="I104" s="28"/>
      <c r="J104" s="28"/>
      <c r="K104" s="5"/>
    </row>
    <row r="105" spans="1:11" ht="58.5" customHeight="1">
      <c r="A105" s="194">
        <v>5.13</v>
      </c>
      <c r="B105" s="174" t="s">
        <v>278</v>
      </c>
      <c r="C105" s="28" t="s">
        <v>279</v>
      </c>
      <c r="D105" s="28"/>
      <c r="E105" s="28"/>
      <c r="F105" s="28"/>
      <c r="G105" s="28"/>
      <c r="H105" s="28"/>
      <c r="I105" s="28" t="s">
        <v>124</v>
      </c>
      <c r="J105" s="14">
        <v>8000</v>
      </c>
      <c r="K105" s="5">
        <f>J105</f>
        <v>8000</v>
      </c>
    </row>
    <row r="106" spans="1:11" ht="14.25">
      <c r="A106" s="194"/>
      <c r="B106" s="174"/>
      <c r="C106" s="28"/>
      <c r="D106" s="28"/>
      <c r="E106" s="28"/>
      <c r="F106" s="28"/>
      <c r="G106" s="28"/>
      <c r="H106" s="28"/>
      <c r="I106" s="28"/>
      <c r="J106" s="14"/>
      <c r="K106" s="5"/>
    </row>
    <row r="107" spans="1:11" ht="38.25">
      <c r="A107" s="194">
        <v>5.14</v>
      </c>
      <c r="B107" s="174" t="s">
        <v>281</v>
      </c>
      <c r="C107" s="28" t="s">
        <v>279</v>
      </c>
      <c r="D107" s="28"/>
      <c r="E107" s="28"/>
      <c r="F107" s="28"/>
      <c r="G107" s="28"/>
      <c r="H107" s="28"/>
      <c r="I107" s="28" t="s">
        <v>124</v>
      </c>
      <c r="J107" s="14">
        <v>4000</v>
      </c>
      <c r="K107" s="5">
        <f>J107</f>
        <v>4000</v>
      </c>
    </row>
    <row r="108" spans="1:11" ht="14.25">
      <c r="A108" s="194"/>
      <c r="B108" s="174"/>
      <c r="C108" s="28"/>
      <c r="D108" s="28"/>
      <c r="E108" s="28"/>
      <c r="F108" s="28"/>
      <c r="G108" s="28"/>
      <c r="H108" s="28"/>
      <c r="I108" s="28"/>
      <c r="J108" s="14"/>
      <c r="K108" s="5"/>
    </row>
    <row r="109" spans="1:11" ht="14.25">
      <c r="A109" s="192">
        <v>5.2</v>
      </c>
      <c r="B109" s="211" t="s">
        <v>185</v>
      </c>
      <c r="C109" s="28"/>
      <c r="D109" s="28"/>
      <c r="E109" s="28"/>
      <c r="F109" s="28"/>
      <c r="G109" s="28"/>
      <c r="H109" s="28"/>
      <c r="I109" s="28"/>
      <c r="J109" s="28"/>
      <c r="K109" s="5"/>
    </row>
    <row r="110" spans="1:11" ht="14.25">
      <c r="A110" s="276"/>
      <c r="B110" s="207"/>
      <c r="C110" s="28"/>
      <c r="D110" s="28"/>
      <c r="E110" s="28"/>
      <c r="F110" s="28"/>
      <c r="G110" s="28"/>
      <c r="H110" s="28"/>
      <c r="I110" s="28"/>
      <c r="J110" s="28"/>
      <c r="K110" s="5"/>
    </row>
    <row r="111" spans="1:11" ht="25.5">
      <c r="A111" s="194"/>
      <c r="B111" s="293" t="s">
        <v>96</v>
      </c>
      <c r="C111" s="28"/>
      <c r="D111" s="28"/>
      <c r="E111" s="28"/>
      <c r="F111" s="28"/>
      <c r="G111" s="28"/>
      <c r="H111" s="28"/>
      <c r="I111" s="28"/>
      <c r="J111" s="28"/>
      <c r="K111" s="5"/>
    </row>
    <row r="112" spans="1:11" ht="14.25">
      <c r="A112" s="202"/>
      <c r="B112" s="174"/>
      <c r="C112" s="28"/>
      <c r="D112" s="28"/>
      <c r="E112" s="28"/>
      <c r="F112" s="28"/>
      <c r="G112" s="28"/>
      <c r="H112" s="28"/>
      <c r="I112" s="28"/>
      <c r="J112" s="28"/>
      <c r="K112" s="5"/>
    </row>
    <row r="113" spans="1:11" ht="14.25">
      <c r="A113" s="194">
        <v>5.21</v>
      </c>
      <c r="B113" s="174" t="s">
        <v>409</v>
      </c>
      <c r="C113" s="28" t="s">
        <v>11</v>
      </c>
      <c r="D113" s="28"/>
      <c r="E113" s="28"/>
      <c r="F113" s="28"/>
      <c r="G113" s="28"/>
      <c r="H113" s="28"/>
      <c r="I113" s="28">
        <v>1</v>
      </c>
      <c r="J113" s="14">
        <v>2000</v>
      </c>
      <c r="K113" s="5">
        <f>I113*J113</f>
        <v>2000</v>
      </c>
    </row>
    <row r="114" spans="1:11" ht="14.25">
      <c r="A114" s="276"/>
      <c r="B114" s="174"/>
      <c r="C114" s="28"/>
      <c r="D114" s="28"/>
      <c r="E114" s="28"/>
      <c r="F114" s="28"/>
      <c r="G114" s="28"/>
      <c r="H114" s="28"/>
      <c r="I114" s="28"/>
      <c r="J114" s="28"/>
      <c r="K114" s="5"/>
    </row>
    <row r="115" spans="1:11" ht="14.25">
      <c r="A115" s="194">
        <v>5.22</v>
      </c>
      <c r="B115" s="207" t="s">
        <v>410</v>
      </c>
      <c r="C115" s="28" t="s">
        <v>11</v>
      </c>
      <c r="D115" s="28"/>
      <c r="E115" s="28"/>
      <c r="F115" s="28"/>
      <c r="G115" s="28"/>
      <c r="H115" s="28"/>
      <c r="I115" s="28">
        <v>1</v>
      </c>
      <c r="J115" s="14">
        <v>8500</v>
      </c>
      <c r="K115" s="5">
        <f>I115*J115</f>
        <v>8500</v>
      </c>
    </row>
    <row r="116" spans="1:11" ht="14.25">
      <c r="A116" s="276"/>
      <c r="B116" s="207"/>
      <c r="C116" s="28"/>
      <c r="D116" s="28"/>
      <c r="E116" s="28"/>
      <c r="F116" s="28"/>
      <c r="G116" s="28"/>
      <c r="H116" s="28"/>
      <c r="I116" s="28"/>
      <c r="J116" s="321"/>
      <c r="K116" s="5"/>
    </row>
    <row r="117" spans="1:11" ht="25.5">
      <c r="A117" s="194">
        <v>5.23</v>
      </c>
      <c r="B117" s="174" t="s">
        <v>411</v>
      </c>
      <c r="C117" s="28" t="s">
        <v>279</v>
      </c>
      <c r="D117" s="28"/>
      <c r="E117" s="28"/>
      <c r="F117" s="28"/>
      <c r="G117" s="28"/>
      <c r="H117" s="28"/>
      <c r="I117" s="28" t="s">
        <v>124</v>
      </c>
      <c r="J117" s="321">
        <v>6000</v>
      </c>
      <c r="K117" s="5">
        <f>J117</f>
        <v>6000</v>
      </c>
    </row>
    <row r="118" spans="1:11" ht="14.25">
      <c r="A118" s="202"/>
      <c r="B118" s="174"/>
      <c r="C118" s="28"/>
      <c r="D118" s="28"/>
      <c r="E118" s="28"/>
      <c r="F118" s="28"/>
      <c r="G118" s="28"/>
      <c r="H118" s="28"/>
      <c r="I118" s="28"/>
      <c r="J118" s="28"/>
      <c r="K118" s="5"/>
    </row>
    <row r="119" spans="1:11" s="154" customFormat="1">
      <c r="A119" s="487" t="s">
        <v>105</v>
      </c>
      <c r="B119" s="488"/>
      <c r="C119" s="488"/>
      <c r="D119" s="488"/>
      <c r="E119" s="488"/>
      <c r="F119" s="488"/>
      <c r="G119" s="488"/>
      <c r="H119" s="488"/>
      <c r="I119" s="488"/>
      <c r="J119" s="489"/>
      <c r="K119" s="240">
        <f>SUM(K94:K117)</f>
        <v>35500</v>
      </c>
    </row>
    <row r="120" spans="1:11" ht="14.25">
      <c r="A120" s="194"/>
      <c r="B120" s="205"/>
      <c r="C120" s="19"/>
      <c r="D120" s="19"/>
      <c r="E120" s="19"/>
      <c r="F120" s="19"/>
      <c r="G120" s="19"/>
      <c r="H120" s="19"/>
      <c r="I120" s="19"/>
      <c r="J120" s="14"/>
      <c r="K120" s="5"/>
    </row>
    <row r="121" spans="1:11" ht="14.25">
      <c r="A121" s="119">
        <v>6</v>
      </c>
      <c r="B121" s="204" t="s">
        <v>80</v>
      </c>
      <c r="C121" s="28"/>
      <c r="D121" s="28"/>
      <c r="E121" s="28"/>
      <c r="F121" s="28"/>
      <c r="G121" s="28"/>
      <c r="H121" s="28"/>
      <c r="I121" s="28"/>
      <c r="J121" s="28"/>
      <c r="K121" s="5"/>
    </row>
    <row r="122" spans="1:11" ht="14.25">
      <c r="A122" s="192"/>
      <c r="B122" s="206"/>
      <c r="C122" s="28"/>
      <c r="D122" s="28"/>
      <c r="E122" s="28"/>
      <c r="F122" s="28"/>
      <c r="G122" s="28"/>
      <c r="H122" s="28"/>
      <c r="I122" s="28"/>
      <c r="J122" s="28"/>
      <c r="K122" s="5"/>
    </row>
    <row r="123" spans="1:11" ht="14.25">
      <c r="A123" s="192">
        <v>6.1</v>
      </c>
      <c r="B123" s="204" t="s">
        <v>303</v>
      </c>
      <c r="C123" s="28"/>
      <c r="D123" s="28"/>
      <c r="E123" s="28"/>
      <c r="F123" s="28"/>
      <c r="G123" s="28"/>
      <c r="H123" s="28"/>
      <c r="I123" s="28"/>
      <c r="J123" s="28"/>
      <c r="K123" s="5"/>
    </row>
    <row r="124" spans="1:11" ht="14.25">
      <c r="A124" s="192"/>
      <c r="B124" s="206"/>
      <c r="C124" s="28"/>
      <c r="D124" s="28"/>
      <c r="E124" s="28"/>
      <c r="F124" s="28"/>
      <c r="G124" s="28"/>
      <c r="H124" s="28"/>
      <c r="I124" s="28"/>
      <c r="J124" s="28"/>
      <c r="K124" s="5"/>
    </row>
    <row r="125" spans="1:11" ht="38.25">
      <c r="A125" s="194">
        <v>6.11</v>
      </c>
      <c r="B125" s="206" t="s">
        <v>304</v>
      </c>
      <c r="C125" s="28" t="s">
        <v>279</v>
      </c>
      <c r="D125" s="28"/>
      <c r="E125" s="28"/>
      <c r="F125" s="28"/>
      <c r="G125" s="28"/>
      <c r="H125" s="28"/>
      <c r="I125" s="28" t="s">
        <v>124</v>
      </c>
      <c r="J125" s="321">
        <v>60000</v>
      </c>
      <c r="K125" s="5">
        <f>J125</f>
        <v>60000</v>
      </c>
    </row>
    <row r="126" spans="1:11" ht="14.25">
      <c r="A126" s="192"/>
      <c r="B126" s="206"/>
      <c r="C126" s="28"/>
      <c r="D126" s="28"/>
      <c r="E126" s="28"/>
      <c r="F126" s="28"/>
      <c r="G126" s="28"/>
      <c r="H126" s="28"/>
      <c r="I126" s="28"/>
      <c r="J126" s="28"/>
      <c r="K126" s="5"/>
    </row>
    <row r="127" spans="1:11" ht="14.25">
      <c r="A127" s="192">
        <v>6.2</v>
      </c>
      <c r="B127" s="204" t="s">
        <v>284</v>
      </c>
      <c r="C127" s="28"/>
      <c r="D127" s="28"/>
      <c r="E127" s="28"/>
      <c r="F127" s="28"/>
      <c r="G127" s="28"/>
      <c r="H127" s="28"/>
      <c r="I127" s="28"/>
      <c r="J127" s="28"/>
      <c r="K127" s="5"/>
    </row>
    <row r="128" spans="1:11" ht="14.25">
      <c r="A128" s="194"/>
      <c r="B128" s="204"/>
      <c r="C128" s="28"/>
      <c r="D128" s="28"/>
      <c r="E128" s="28"/>
      <c r="F128" s="28"/>
      <c r="G128" s="28"/>
      <c r="H128" s="28"/>
      <c r="I128" s="28"/>
      <c r="J128" s="28"/>
      <c r="K128" s="5"/>
    </row>
    <row r="129" spans="1:11" ht="67.5" customHeight="1">
      <c r="A129" s="276"/>
      <c r="B129" s="206" t="s">
        <v>283</v>
      </c>
      <c r="C129" s="28"/>
      <c r="D129" s="28"/>
      <c r="E129" s="28"/>
      <c r="F129" s="28"/>
      <c r="G129" s="28"/>
      <c r="H129" s="28"/>
      <c r="I129" s="28"/>
      <c r="J129" s="28"/>
      <c r="K129" s="5"/>
    </row>
    <row r="130" spans="1:11" ht="14.25">
      <c r="A130" s="194"/>
      <c r="B130" s="204"/>
      <c r="C130" s="28"/>
      <c r="D130" s="28"/>
      <c r="E130" s="28"/>
      <c r="F130" s="28"/>
      <c r="G130" s="28"/>
      <c r="H130" s="28"/>
      <c r="I130" s="28"/>
      <c r="J130" s="28"/>
      <c r="K130" s="5"/>
    </row>
    <row r="131" spans="1:11" ht="14.25">
      <c r="A131" s="202">
        <v>6.21</v>
      </c>
      <c r="B131" s="294" t="s">
        <v>127</v>
      </c>
      <c r="C131" s="28" t="s">
        <v>11</v>
      </c>
      <c r="D131" s="28">
        <v>1</v>
      </c>
      <c r="E131" s="28"/>
      <c r="F131" s="28"/>
      <c r="G131" s="28"/>
      <c r="H131" s="28"/>
      <c r="I131" s="28">
        <v>1</v>
      </c>
      <c r="J131" s="14">
        <v>10000</v>
      </c>
      <c r="K131" s="5">
        <f>I131*J131</f>
        <v>10000</v>
      </c>
    </row>
    <row r="132" spans="1:11" ht="14.25">
      <c r="A132" s="192"/>
      <c r="B132" s="206"/>
      <c r="C132" s="28"/>
      <c r="D132" s="28"/>
      <c r="E132" s="28"/>
      <c r="F132" s="28"/>
      <c r="G132" s="28"/>
      <c r="H132" s="28"/>
      <c r="I132" s="28"/>
      <c r="J132" s="28"/>
      <c r="K132" s="5"/>
    </row>
    <row r="133" spans="1:11" ht="14.25">
      <c r="A133" s="192">
        <v>6.3</v>
      </c>
      <c r="B133" s="204" t="s">
        <v>79</v>
      </c>
      <c r="C133" s="28"/>
      <c r="D133" s="28"/>
      <c r="E133" s="28"/>
      <c r="F133" s="28"/>
      <c r="G133" s="28"/>
      <c r="H133" s="28"/>
      <c r="I133" s="28"/>
      <c r="J133" s="28"/>
      <c r="K133" s="5"/>
    </row>
    <row r="134" spans="1:11" ht="14.25">
      <c r="A134" s="194"/>
      <c r="B134" s="204"/>
      <c r="C134" s="28"/>
      <c r="D134" s="28"/>
      <c r="E134" s="28"/>
      <c r="F134" s="28"/>
      <c r="G134" s="28"/>
      <c r="H134" s="28"/>
      <c r="I134" s="28"/>
      <c r="J134" s="28"/>
      <c r="K134" s="5"/>
    </row>
    <row r="135" spans="1:11" ht="51">
      <c r="A135" s="202"/>
      <c r="B135" s="206" t="s">
        <v>167</v>
      </c>
      <c r="C135" s="28"/>
      <c r="D135" s="28"/>
      <c r="E135" s="28"/>
      <c r="F135" s="28"/>
      <c r="G135" s="28"/>
      <c r="H135" s="28"/>
      <c r="I135" s="28"/>
      <c r="J135" s="28"/>
      <c r="K135" s="5"/>
    </row>
    <row r="136" spans="1:11" ht="14.25">
      <c r="A136" s="194"/>
      <c r="B136" s="204"/>
      <c r="C136" s="28"/>
      <c r="D136" s="28"/>
      <c r="E136" s="28"/>
      <c r="F136" s="28"/>
      <c r="G136" s="28"/>
      <c r="H136" s="28"/>
      <c r="I136" s="28"/>
      <c r="J136" s="28"/>
      <c r="K136" s="5"/>
    </row>
    <row r="137" spans="1:11" ht="14.25">
      <c r="A137" s="276">
        <v>6.31</v>
      </c>
      <c r="B137" s="295" t="s">
        <v>78</v>
      </c>
      <c r="C137" s="28" t="s">
        <v>11</v>
      </c>
      <c r="D137" s="28"/>
      <c r="E137" s="28"/>
      <c r="F137" s="28"/>
      <c r="G137" s="28"/>
      <c r="H137" s="28"/>
      <c r="I137" s="28">
        <v>2</v>
      </c>
      <c r="J137" s="14">
        <v>4300</v>
      </c>
      <c r="K137" s="5">
        <f>I137*J137</f>
        <v>8600</v>
      </c>
    </row>
    <row r="138" spans="1:11" ht="14.25">
      <c r="A138" s="194"/>
      <c r="B138" s="207"/>
      <c r="C138" s="28"/>
      <c r="D138" s="28"/>
      <c r="E138" s="28"/>
      <c r="F138" s="28"/>
      <c r="G138" s="28"/>
      <c r="H138" s="28"/>
      <c r="I138" s="28"/>
      <c r="J138" s="28"/>
      <c r="K138" s="5"/>
    </row>
    <row r="139" spans="1:11" ht="14.25">
      <c r="A139" s="202">
        <v>6.32</v>
      </c>
      <c r="B139" s="295" t="s">
        <v>168</v>
      </c>
      <c r="C139" s="28" t="s">
        <v>11</v>
      </c>
      <c r="D139" s="28"/>
      <c r="E139" s="28"/>
      <c r="F139" s="28"/>
      <c r="G139" s="28"/>
      <c r="H139" s="28"/>
      <c r="I139" s="28">
        <v>2</v>
      </c>
      <c r="J139" s="14">
        <v>3300</v>
      </c>
      <c r="K139" s="5">
        <f>I139*J139</f>
        <v>6600</v>
      </c>
    </row>
    <row r="140" spans="1:11" ht="14.25">
      <c r="A140" s="192"/>
      <c r="B140" s="204"/>
      <c r="C140" s="28"/>
      <c r="D140" s="28"/>
      <c r="E140" s="28"/>
      <c r="F140" s="28"/>
      <c r="G140" s="28"/>
      <c r="H140" s="28"/>
      <c r="I140" s="28"/>
      <c r="J140" s="28"/>
      <c r="K140" s="5"/>
    </row>
    <row r="141" spans="1:11" ht="14.25">
      <c r="A141" s="192">
        <v>6.4</v>
      </c>
      <c r="B141" s="204" t="s">
        <v>189</v>
      </c>
      <c r="C141" s="28"/>
      <c r="D141" s="28"/>
      <c r="E141" s="28"/>
      <c r="F141" s="28"/>
      <c r="G141" s="28"/>
      <c r="H141" s="28"/>
      <c r="I141" s="28"/>
      <c r="J141" s="28"/>
      <c r="K141" s="5"/>
    </row>
    <row r="142" spans="1:11" ht="14.25">
      <c r="A142" s="194"/>
      <c r="B142" s="204"/>
      <c r="C142" s="28"/>
      <c r="D142" s="28"/>
      <c r="E142" s="28"/>
      <c r="F142" s="28"/>
      <c r="G142" s="28"/>
      <c r="H142" s="28"/>
      <c r="I142" s="28"/>
      <c r="J142" s="28"/>
      <c r="K142" s="5"/>
    </row>
    <row r="143" spans="1:11" ht="25.5">
      <c r="A143" s="202"/>
      <c r="B143" s="294" t="s">
        <v>169</v>
      </c>
      <c r="C143" s="28"/>
      <c r="D143" s="28"/>
      <c r="E143" s="28"/>
      <c r="F143" s="28"/>
      <c r="G143" s="28"/>
      <c r="H143" s="28"/>
      <c r="I143" s="28"/>
      <c r="J143" s="28"/>
      <c r="K143" s="5"/>
    </row>
    <row r="144" spans="1:11" ht="14.25">
      <c r="A144" s="194"/>
      <c r="B144" s="208"/>
      <c r="C144" s="28"/>
      <c r="D144" s="28"/>
      <c r="E144" s="28"/>
      <c r="F144" s="28"/>
      <c r="G144" s="28"/>
      <c r="H144" s="28"/>
      <c r="I144" s="28"/>
      <c r="J144" s="28"/>
      <c r="K144" s="5"/>
    </row>
    <row r="145" spans="1:11" ht="15.75">
      <c r="A145" s="194">
        <v>6.41</v>
      </c>
      <c r="B145" s="206" t="s">
        <v>76</v>
      </c>
      <c r="C145" s="28" t="s">
        <v>37</v>
      </c>
      <c r="D145" s="28">
        <f>1.2*1.2</f>
        <v>1.44</v>
      </c>
      <c r="E145" s="28">
        <f>0.6*0.6</f>
        <v>0.36</v>
      </c>
      <c r="F145" s="28"/>
      <c r="G145" s="28"/>
      <c r="H145" s="28" t="s">
        <v>73</v>
      </c>
      <c r="I145" s="28">
        <f>(2*D145)+(2*E145)</f>
        <v>3.5999999999999996</v>
      </c>
      <c r="J145" s="14">
        <v>900</v>
      </c>
      <c r="K145" s="5">
        <f>I145*J145</f>
        <v>3239.9999999999995</v>
      </c>
    </row>
    <row r="146" spans="1:11" ht="14.25">
      <c r="A146" s="276"/>
      <c r="B146" s="206"/>
      <c r="C146" s="87"/>
      <c r="D146" s="87"/>
      <c r="E146" s="87"/>
      <c r="F146" s="87"/>
      <c r="G146" s="87"/>
      <c r="H146" s="87"/>
      <c r="I146" s="87"/>
      <c r="J146" s="279"/>
      <c r="K146" s="280"/>
    </row>
    <row r="147" spans="1:11" s="154" customFormat="1">
      <c r="A147" s="487" t="s">
        <v>106</v>
      </c>
      <c r="B147" s="488"/>
      <c r="C147" s="488"/>
      <c r="D147" s="488"/>
      <c r="E147" s="488"/>
      <c r="F147" s="488"/>
      <c r="G147" s="488"/>
      <c r="H147" s="488"/>
      <c r="I147" s="488"/>
      <c r="J147" s="489"/>
      <c r="K147" s="240">
        <f>SUM(K120:K146)</f>
        <v>88440</v>
      </c>
    </row>
    <row r="148" spans="1:11" ht="14.25">
      <c r="A148" s="202"/>
      <c r="B148" s="205"/>
      <c r="C148" s="19"/>
      <c r="D148" s="19"/>
      <c r="E148" s="19"/>
      <c r="F148" s="19"/>
      <c r="G148" s="19"/>
      <c r="H148" s="19"/>
      <c r="I148" s="19"/>
      <c r="J148" s="14"/>
      <c r="K148" s="5"/>
    </row>
    <row r="149" spans="1:11" ht="14.25">
      <c r="A149" s="192">
        <v>7</v>
      </c>
      <c r="B149" s="167" t="s">
        <v>81</v>
      </c>
      <c r="C149" s="28"/>
      <c r="D149" s="28"/>
      <c r="E149" s="28"/>
      <c r="F149" s="28"/>
      <c r="G149" s="28"/>
      <c r="H149" s="28"/>
      <c r="I149" s="28"/>
      <c r="J149" s="28"/>
      <c r="K149" s="5"/>
    </row>
    <row r="150" spans="1:11" ht="14.25">
      <c r="A150" s="276"/>
      <c r="B150" s="3" t="s">
        <v>58</v>
      </c>
      <c r="C150" s="28"/>
      <c r="D150" s="28"/>
      <c r="E150" s="28"/>
      <c r="F150" s="28"/>
      <c r="G150" s="28"/>
      <c r="H150" s="28"/>
      <c r="I150" s="28"/>
      <c r="J150" s="28"/>
      <c r="K150" s="5"/>
    </row>
    <row r="151" spans="1:11" ht="14.25">
      <c r="A151" s="192">
        <v>7.1</v>
      </c>
      <c r="B151" s="167" t="s">
        <v>90</v>
      </c>
      <c r="C151" s="28"/>
      <c r="D151" s="28"/>
      <c r="E151" s="28"/>
      <c r="F151" s="28"/>
      <c r="G151" s="28"/>
      <c r="H151" s="28"/>
      <c r="I151" s="28"/>
      <c r="J151" s="28"/>
      <c r="K151" s="5"/>
    </row>
    <row r="152" spans="1:11">
      <c r="A152" s="194"/>
      <c r="B152" s="23"/>
      <c r="C152" s="28"/>
      <c r="D152" s="28"/>
      <c r="E152" s="28"/>
      <c r="F152" s="28"/>
      <c r="G152" s="28"/>
      <c r="H152" s="28"/>
      <c r="I152" s="28"/>
      <c r="J152" s="28"/>
      <c r="K152" s="5"/>
    </row>
    <row r="153" spans="1:11" ht="38.25">
      <c r="A153" s="194">
        <v>7.11</v>
      </c>
      <c r="B153" s="3" t="s">
        <v>285</v>
      </c>
      <c r="C153" s="19" t="s">
        <v>77</v>
      </c>
      <c r="D153" s="296">
        <v>5.25</v>
      </c>
      <c r="E153" s="296">
        <v>4.6360000000000001</v>
      </c>
      <c r="F153" s="28">
        <v>1.2</v>
      </c>
      <c r="G153" s="28"/>
      <c r="H153" s="28"/>
      <c r="I153" s="393">
        <f>(D153*E153)+(D153*F153)</f>
        <v>30.639000000000003</v>
      </c>
      <c r="J153" s="14">
        <v>580</v>
      </c>
      <c r="K153" s="5">
        <f>I153*J153</f>
        <v>17770.620000000003</v>
      </c>
    </row>
    <row r="154" spans="1:11" ht="14.25">
      <c r="A154" s="202"/>
      <c r="B154" s="206"/>
      <c r="C154" s="28"/>
      <c r="D154" s="28"/>
      <c r="E154" s="28"/>
      <c r="F154" s="28"/>
      <c r="G154" s="28"/>
      <c r="H154" s="28"/>
      <c r="I154" s="28"/>
      <c r="J154" s="28"/>
      <c r="K154" s="5"/>
    </row>
    <row r="155" spans="1:11" ht="14.25">
      <c r="A155" s="192">
        <v>7.2</v>
      </c>
      <c r="B155" s="167" t="s">
        <v>89</v>
      </c>
      <c r="C155" s="28"/>
      <c r="D155" s="28"/>
      <c r="E155" s="28"/>
      <c r="F155" s="28"/>
      <c r="G155" s="28"/>
      <c r="H155" s="28"/>
      <c r="I155" s="28"/>
      <c r="J155" s="28"/>
      <c r="K155" s="5"/>
    </row>
    <row r="156" spans="1:11">
      <c r="A156" s="194"/>
      <c r="B156" s="23"/>
      <c r="C156" s="28"/>
      <c r="D156" s="28"/>
      <c r="E156" s="28"/>
      <c r="F156" s="28"/>
      <c r="G156" s="28"/>
      <c r="H156" s="28"/>
      <c r="I156" s="28"/>
      <c r="J156" s="28"/>
      <c r="K156" s="5"/>
    </row>
    <row r="157" spans="1:11" ht="51">
      <c r="A157" s="194">
        <v>7.21</v>
      </c>
      <c r="B157" s="297" t="s">
        <v>286</v>
      </c>
      <c r="C157" s="28"/>
      <c r="D157" s="28"/>
      <c r="E157" s="28"/>
      <c r="F157" s="28"/>
      <c r="G157" s="28"/>
      <c r="H157" s="28"/>
      <c r="I157" s="28"/>
      <c r="J157" s="28"/>
      <c r="K157" s="5"/>
    </row>
    <row r="158" spans="1:11" ht="14.25">
      <c r="A158" s="194"/>
      <c r="B158" s="3"/>
      <c r="C158" s="28"/>
      <c r="D158" s="28"/>
      <c r="E158" s="28"/>
      <c r="F158" s="28"/>
      <c r="G158" s="28"/>
      <c r="H158" s="28"/>
      <c r="I158" s="28"/>
      <c r="J158" s="28"/>
      <c r="K158" s="5"/>
    </row>
    <row r="159" spans="1:11" ht="38.25">
      <c r="A159" s="194">
        <v>7.22</v>
      </c>
      <c r="B159" s="206" t="s">
        <v>287</v>
      </c>
      <c r="C159" s="28" t="s">
        <v>11</v>
      </c>
      <c r="D159" s="28">
        <v>10</v>
      </c>
      <c r="E159" s="28">
        <v>680</v>
      </c>
      <c r="F159" s="28">
        <v>4.5</v>
      </c>
      <c r="G159" s="28">
        <f>(75/100)*E159</f>
        <v>510</v>
      </c>
      <c r="H159" s="28"/>
      <c r="I159" s="28">
        <v>4</v>
      </c>
      <c r="J159" s="14">
        <f>(D159*E159)+(F159*G159)</f>
        <v>9095</v>
      </c>
      <c r="K159" s="5">
        <f>I159*J159</f>
        <v>36380</v>
      </c>
    </row>
    <row r="160" spans="1:11" ht="14.25">
      <c r="A160" s="194"/>
      <c r="B160" s="206"/>
      <c r="C160" s="28"/>
      <c r="D160" s="28"/>
      <c r="E160" s="28"/>
      <c r="F160" s="28"/>
      <c r="G160" s="28"/>
      <c r="H160" s="28"/>
      <c r="I160" s="28"/>
      <c r="J160" s="28"/>
      <c r="K160" s="5"/>
    </row>
    <row r="161" spans="1:11" ht="38.25">
      <c r="A161" s="194">
        <v>7.23</v>
      </c>
      <c r="B161" s="3" t="s">
        <v>288</v>
      </c>
      <c r="C161" s="28"/>
      <c r="D161" s="28"/>
      <c r="E161" s="28"/>
      <c r="F161" s="28"/>
      <c r="G161" s="28"/>
      <c r="H161" s="28"/>
      <c r="I161" s="28"/>
      <c r="J161" s="28"/>
      <c r="K161" s="5"/>
    </row>
    <row r="162" spans="1:11">
      <c r="A162" s="202"/>
      <c r="B162" s="23"/>
      <c r="C162" s="28"/>
      <c r="D162" s="28"/>
      <c r="E162" s="28"/>
      <c r="F162" s="28"/>
      <c r="G162" s="28"/>
      <c r="H162" s="28"/>
      <c r="I162" s="28"/>
      <c r="J162" s="28"/>
      <c r="K162" s="5"/>
    </row>
    <row r="163" spans="1:11" ht="14.25">
      <c r="A163" s="202">
        <v>7.24</v>
      </c>
      <c r="B163" s="294" t="s">
        <v>289</v>
      </c>
      <c r="C163" s="28" t="s">
        <v>3</v>
      </c>
      <c r="D163" s="28">
        <v>4</v>
      </c>
      <c r="E163" s="28">
        <f>E4</f>
        <v>4</v>
      </c>
      <c r="F163" s="28"/>
      <c r="G163" s="28"/>
      <c r="H163" s="28" t="s">
        <v>95</v>
      </c>
      <c r="I163" s="28">
        <f>D163*E163</f>
        <v>16</v>
      </c>
      <c r="J163" s="14">
        <v>200</v>
      </c>
      <c r="K163" s="5">
        <f>I163*J163</f>
        <v>3200</v>
      </c>
    </row>
    <row r="164" spans="1:11" ht="14.25">
      <c r="A164" s="361"/>
      <c r="B164" s="206"/>
      <c r="C164" s="28"/>
      <c r="D164" s="28"/>
      <c r="E164" s="28"/>
      <c r="F164" s="28"/>
      <c r="G164" s="28"/>
      <c r="H164" s="28"/>
      <c r="I164" s="28"/>
      <c r="J164" s="28"/>
      <c r="K164" s="5"/>
    </row>
    <row r="165" spans="1:11" ht="25.5">
      <c r="A165" s="276">
        <v>7.25</v>
      </c>
      <c r="B165" s="294" t="s">
        <v>290</v>
      </c>
      <c r="C165" s="28" t="s">
        <v>3</v>
      </c>
      <c r="D165" s="28">
        <f>D4</f>
        <v>4.6500000000000004</v>
      </c>
      <c r="E165" s="28">
        <f>E4</f>
        <v>4</v>
      </c>
      <c r="F165" s="28"/>
      <c r="G165" s="28"/>
      <c r="H165" s="28"/>
      <c r="I165" s="28">
        <f>(D165*2)+(E165*2)</f>
        <v>17.3</v>
      </c>
      <c r="J165" s="14">
        <v>200</v>
      </c>
      <c r="K165" s="5">
        <f>I165*J165</f>
        <v>3460</v>
      </c>
    </row>
    <row r="166" spans="1:11" ht="14.25">
      <c r="A166" s="361"/>
      <c r="B166" s="206"/>
      <c r="C166" s="28"/>
      <c r="D166" s="28"/>
      <c r="E166" s="28"/>
      <c r="F166" s="28"/>
      <c r="G166" s="28"/>
      <c r="H166" s="28"/>
      <c r="I166" s="28"/>
      <c r="J166" s="28"/>
      <c r="K166" s="5"/>
    </row>
    <row r="167" spans="1:11" ht="14.25">
      <c r="A167" s="194">
        <v>7.26</v>
      </c>
      <c r="B167" s="294" t="s">
        <v>170</v>
      </c>
      <c r="C167" s="28" t="s">
        <v>3</v>
      </c>
      <c r="D167" s="28">
        <f>D165+1.2</f>
        <v>5.8500000000000005</v>
      </c>
      <c r="E167" s="28">
        <f>E165+1.2</f>
        <v>5.2</v>
      </c>
      <c r="F167" s="28"/>
      <c r="G167" s="28"/>
      <c r="H167" s="28"/>
      <c r="I167" s="28">
        <f>(D167*2)+(E167*2)</f>
        <v>22.1</v>
      </c>
      <c r="J167" s="28">
        <v>250</v>
      </c>
      <c r="K167" s="5">
        <f>I167*J167</f>
        <v>5525</v>
      </c>
    </row>
    <row r="168" spans="1:11" ht="14.25">
      <c r="A168" s="362"/>
      <c r="B168" s="294"/>
      <c r="C168" s="28"/>
      <c r="D168" s="28"/>
      <c r="E168" s="28"/>
      <c r="F168" s="28"/>
      <c r="G168" s="28"/>
      <c r="H168" s="28"/>
      <c r="I168" s="28"/>
      <c r="J168" s="14"/>
      <c r="K168" s="5"/>
    </row>
    <row r="169" spans="1:11" ht="14.25">
      <c r="A169" s="192">
        <v>7.3</v>
      </c>
      <c r="B169" s="167" t="s">
        <v>291</v>
      </c>
      <c r="C169" s="28"/>
      <c r="D169" s="28"/>
      <c r="E169" s="28"/>
      <c r="F169" s="28"/>
      <c r="G169" s="28"/>
      <c r="H169" s="28"/>
      <c r="I169" s="28"/>
      <c r="J169" s="28"/>
      <c r="K169" s="5"/>
    </row>
    <row r="170" spans="1:11" ht="14.25">
      <c r="A170" s="362"/>
      <c r="B170" s="294"/>
      <c r="C170" s="28"/>
      <c r="D170" s="28"/>
      <c r="E170" s="28"/>
      <c r="F170" s="28"/>
      <c r="G170" s="28"/>
      <c r="H170" s="28"/>
      <c r="I170" s="28"/>
      <c r="J170" s="14"/>
      <c r="K170" s="5"/>
    </row>
    <row r="171" spans="1:11" ht="25.5">
      <c r="A171" s="276">
        <v>7.31</v>
      </c>
      <c r="B171" s="294" t="s">
        <v>293</v>
      </c>
      <c r="C171" s="28" t="s">
        <v>77</v>
      </c>
      <c r="D171" s="28"/>
      <c r="E171" s="28"/>
      <c r="F171" s="28"/>
      <c r="G171" s="28"/>
      <c r="H171" s="28"/>
      <c r="I171" s="28">
        <f>D173*E173</f>
        <v>18.600000000000001</v>
      </c>
      <c r="J171" s="28">
        <v>750</v>
      </c>
      <c r="K171" s="5">
        <f>I171*J171</f>
        <v>13950.000000000002</v>
      </c>
    </row>
    <row r="172" spans="1:11" ht="14.25">
      <c r="A172" s="362"/>
      <c r="B172" s="294"/>
      <c r="C172" s="28"/>
      <c r="D172" s="28"/>
      <c r="E172" s="28"/>
      <c r="F172" s="28"/>
      <c r="G172" s="28"/>
      <c r="H172" s="28"/>
      <c r="I172" s="28"/>
      <c r="J172" s="14"/>
      <c r="K172" s="5"/>
    </row>
    <row r="173" spans="1:11" ht="14.25">
      <c r="A173" s="276">
        <v>7.32</v>
      </c>
      <c r="B173" s="294" t="s">
        <v>292</v>
      </c>
      <c r="C173" s="28" t="s">
        <v>3</v>
      </c>
      <c r="D173" s="28">
        <f>D4</f>
        <v>4.6500000000000004</v>
      </c>
      <c r="E173" s="28">
        <f>E4</f>
        <v>4</v>
      </c>
      <c r="F173" s="28"/>
      <c r="G173" s="28"/>
      <c r="H173" s="28"/>
      <c r="I173" s="28">
        <f>(D173*2)+(E173*4)</f>
        <v>25.3</v>
      </c>
      <c r="J173" s="28">
        <v>250</v>
      </c>
      <c r="K173" s="5">
        <f>I173*J173</f>
        <v>6325</v>
      </c>
    </row>
    <row r="174" spans="1:11" ht="14.25">
      <c r="A174" s="362"/>
      <c r="B174" s="456"/>
      <c r="C174" s="28"/>
      <c r="D174" s="28"/>
      <c r="E174" s="28"/>
      <c r="F174" s="28"/>
      <c r="G174" s="28"/>
      <c r="H174" s="28"/>
      <c r="I174" s="28"/>
      <c r="J174" s="28"/>
      <c r="K174" s="5"/>
    </row>
    <row r="175" spans="1:11" ht="14.25">
      <c r="A175" s="192">
        <v>7.4</v>
      </c>
      <c r="B175" s="167" t="s">
        <v>297</v>
      </c>
      <c r="C175" s="28"/>
      <c r="D175" s="28"/>
      <c r="E175" s="28"/>
      <c r="F175" s="28"/>
      <c r="G175" s="28"/>
      <c r="H175" s="28"/>
      <c r="I175" s="28"/>
      <c r="J175" s="28"/>
      <c r="K175" s="5"/>
    </row>
    <row r="176" spans="1:11" ht="14.25">
      <c r="A176" s="194"/>
      <c r="B176" s="3"/>
      <c r="C176" s="28"/>
      <c r="D176" s="28"/>
      <c r="E176" s="28"/>
      <c r="F176" s="28"/>
      <c r="G176" s="28"/>
      <c r="H176" s="28"/>
      <c r="I176" s="28"/>
      <c r="J176" s="28"/>
      <c r="K176" s="5"/>
    </row>
    <row r="177" spans="1:11" ht="25.5">
      <c r="A177" s="194">
        <v>7.41</v>
      </c>
      <c r="B177" s="3" t="s">
        <v>412</v>
      </c>
      <c r="C177" s="28" t="s">
        <v>11</v>
      </c>
      <c r="D177" s="28"/>
      <c r="E177" s="28"/>
      <c r="F177" s="28"/>
      <c r="G177" s="28"/>
      <c r="H177" s="28"/>
      <c r="I177" s="28">
        <v>1</v>
      </c>
      <c r="J177" s="28">
        <v>4000</v>
      </c>
      <c r="K177" s="5">
        <f>I177*J177</f>
        <v>4000</v>
      </c>
    </row>
    <row r="178" spans="1:11" ht="14.25">
      <c r="A178" s="194"/>
      <c r="B178" s="3"/>
      <c r="C178" s="28"/>
      <c r="D178" s="28"/>
      <c r="E178" s="28"/>
      <c r="F178" s="28"/>
      <c r="G178" s="28"/>
      <c r="H178" s="28"/>
      <c r="I178" s="28"/>
      <c r="J178" s="28"/>
      <c r="K178" s="5"/>
    </row>
    <row r="179" spans="1:11" ht="14.25">
      <c r="A179" s="276"/>
      <c r="B179" s="120"/>
      <c r="C179" s="112"/>
      <c r="D179" s="113"/>
      <c r="E179" s="113"/>
      <c r="F179" s="113"/>
      <c r="G179" s="113"/>
      <c r="H179" s="113"/>
      <c r="I179" s="112"/>
      <c r="J179" s="117"/>
      <c r="K179" s="118"/>
    </row>
    <row r="180" spans="1:11" s="154" customFormat="1">
      <c r="A180" s="487" t="s">
        <v>143</v>
      </c>
      <c r="B180" s="488"/>
      <c r="C180" s="488"/>
      <c r="D180" s="488"/>
      <c r="E180" s="488"/>
      <c r="F180" s="488"/>
      <c r="G180" s="488"/>
      <c r="H180" s="488"/>
      <c r="I180" s="488"/>
      <c r="J180" s="489"/>
      <c r="K180" s="240">
        <f>SUM(K148:K179)</f>
        <v>90610.62</v>
      </c>
    </row>
    <row r="181" spans="1:11" ht="14.25">
      <c r="A181" s="361"/>
      <c r="B181" s="205"/>
      <c r="C181" s="19"/>
      <c r="D181" s="19"/>
      <c r="E181" s="19"/>
      <c r="F181" s="19"/>
      <c r="G181" s="19"/>
      <c r="H181" s="19"/>
      <c r="I181" s="19"/>
      <c r="J181" s="14"/>
      <c r="K181" s="5"/>
    </row>
    <row r="182" spans="1:11" ht="14.25">
      <c r="A182" s="192">
        <v>8</v>
      </c>
      <c r="B182" s="204" t="s">
        <v>75</v>
      </c>
      <c r="C182" s="28"/>
      <c r="D182" s="28"/>
      <c r="E182" s="28"/>
      <c r="F182" s="28"/>
      <c r="G182" s="28"/>
      <c r="H182" s="28"/>
      <c r="I182" s="28"/>
      <c r="J182" s="28"/>
      <c r="K182" s="5"/>
    </row>
    <row r="183" spans="1:11" ht="14.25">
      <c r="A183" s="276"/>
      <c r="B183" s="206"/>
      <c r="C183" s="28"/>
      <c r="D183" s="28"/>
      <c r="E183" s="28"/>
      <c r="F183" s="28"/>
      <c r="G183" s="28"/>
      <c r="H183" s="28"/>
      <c r="I183" s="28"/>
      <c r="J183" s="28"/>
      <c r="K183" s="5"/>
    </row>
    <row r="184" spans="1:11" ht="14.25">
      <c r="A184" s="192">
        <v>8.1</v>
      </c>
      <c r="B184" s="204" t="s">
        <v>175</v>
      </c>
      <c r="C184" s="28"/>
      <c r="D184" s="28"/>
      <c r="E184" s="28"/>
      <c r="F184" s="28"/>
      <c r="G184" s="28"/>
      <c r="H184" s="28"/>
      <c r="I184" s="28"/>
      <c r="J184" s="28"/>
      <c r="K184" s="5"/>
    </row>
    <row r="185" spans="1:11" ht="14.25">
      <c r="A185" s="361"/>
      <c r="B185" s="209"/>
      <c r="C185" s="28"/>
      <c r="D185" s="28"/>
      <c r="E185" s="28"/>
      <c r="F185" s="28"/>
      <c r="G185" s="28"/>
      <c r="H185" s="28"/>
      <c r="I185" s="28"/>
      <c r="J185" s="28"/>
      <c r="K185" s="5"/>
    </row>
    <row r="186" spans="1:11" ht="25.5">
      <c r="A186" s="194"/>
      <c r="B186" s="206" t="s">
        <v>294</v>
      </c>
      <c r="C186" s="28"/>
      <c r="D186" s="28"/>
      <c r="E186" s="28"/>
      <c r="F186" s="28"/>
      <c r="G186" s="28"/>
      <c r="H186" s="28"/>
      <c r="I186" s="28"/>
      <c r="J186" s="28"/>
      <c r="K186" s="5"/>
    </row>
    <row r="187" spans="1:11" ht="14.25">
      <c r="A187" s="194"/>
      <c r="B187" s="209"/>
      <c r="C187" s="28"/>
      <c r="D187" s="28"/>
      <c r="E187" s="28"/>
      <c r="F187" s="28"/>
      <c r="G187" s="28"/>
      <c r="H187" s="28"/>
      <c r="I187" s="28"/>
      <c r="J187" s="28"/>
      <c r="K187" s="5"/>
    </row>
    <row r="188" spans="1:11" ht="15.75">
      <c r="A188" s="194">
        <v>8.11</v>
      </c>
      <c r="B188" s="206" t="s">
        <v>295</v>
      </c>
      <c r="C188" s="28" t="s">
        <v>37</v>
      </c>
      <c r="D188" s="28"/>
      <c r="E188" s="28"/>
      <c r="F188" s="28"/>
      <c r="G188" s="28"/>
      <c r="H188" s="28"/>
      <c r="I188" s="393">
        <f>I74-I208</f>
        <v>64.433999999999997</v>
      </c>
      <c r="J188" s="28">
        <v>250</v>
      </c>
      <c r="K188" s="5">
        <f>I188*J188</f>
        <v>16108.5</v>
      </c>
    </row>
    <row r="189" spans="1:11" ht="14.25">
      <c r="A189" s="194"/>
      <c r="B189" s="206"/>
      <c r="C189" s="28"/>
      <c r="D189" s="28"/>
      <c r="E189" s="28"/>
      <c r="F189" s="28"/>
      <c r="G189" s="28"/>
      <c r="H189" s="28"/>
      <c r="I189" s="28"/>
      <c r="J189" s="28"/>
      <c r="K189" s="5"/>
    </row>
    <row r="190" spans="1:11" ht="15.75">
      <c r="A190" s="194">
        <v>8.1199999999999992</v>
      </c>
      <c r="B190" s="206" t="s">
        <v>296</v>
      </c>
      <c r="C190" s="28" t="s">
        <v>37</v>
      </c>
      <c r="D190" s="28"/>
      <c r="E190" s="28"/>
      <c r="F190" s="28"/>
      <c r="G190" s="28"/>
      <c r="H190" s="28"/>
      <c r="I190" s="28">
        <f>I171</f>
        <v>18.600000000000001</v>
      </c>
      <c r="J190" s="28">
        <v>250</v>
      </c>
      <c r="K190" s="5">
        <f>I190*J190</f>
        <v>4650</v>
      </c>
    </row>
    <row r="191" spans="1:11" ht="14.25">
      <c r="A191" s="194"/>
      <c r="B191" s="209"/>
      <c r="C191" s="28"/>
      <c r="D191" s="28"/>
      <c r="E191" s="28"/>
      <c r="F191" s="28"/>
      <c r="G191" s="28"/>
      <c r="H191" s="28"/>
      <c r="I191" s="28"/>
      <c r="J191" s="28"/>
      <c r="K191" s="5"/>
    </row>
    <row r="192" spans="1:11" ht="14.25">
      <c r="A192" s="194">
        <v>8.1300000000000008</v>
      </c>
      <c r="B192" s="206" t="s">
        <v>174</v>
      </c>
      <c r="C192" s="28"/>
      <c r="D192" s="28"/>
      <c r="E192" s="28"/>
      <c r="F192" s="28"/>
      <c r="G192" s="28"/>
      <c r="H192" s="28"/>
      <c r="I192" s="28"/>
      <c r="J192" s="28"/>
      <c r="K192" s="5"/>
    </row>
    <row r="193" spans="1:11" ht="14.25">
      <c r="A193" s="194"/>
      <c r="B193" s="204"/>
      <c r="C193" s="28"/>
      <c r="D193" s="28"/>
      <c r="E193" s="28"/>
      <c r="F193" s="28"/>
      <c r="G193" s="28"/>
      <c r="H193" s="28"/>
      <c r="I193" s="28"/>
      <c r="J193" s="28"/>
      <c r="K193" s="5"/>
    </row>
    <row r="194" spans="1:11" ht="15.75">
      <c r="A194" s="194">
        <v>8.14</v>
      </c>
      <c r="B194" s="294" t="s">
        <v>74</v>
      </c>
      <c r="C194" s="28" t="s">
        <v>37</v>
      </c>
      <c r="D194" s="100">
        <f>I167</f>
        <v>22.1</v>
      </c>
      <c r="E194" s="28"/>
      <c r="F194" s="100">
        <v>0.2</v>
      </c>
      <c r="G194" s="28"/>
      <c r="H194" s="28"/>
      <c r="I194" s="462">
        <f>D194*F194</f>
        <v>4.4200000000000008</v>
      </c>
      <c r="J194" s="14">
        <v>600</v>
      </c>
      <c r="K194" s="5">
        <f>I194*J194</f>
        <v>2652.0000000000005</v>
      </c>
    </row>
    <row r="195" spans="1:11" ht="14.25">
      <c r="A195" s="194"/>
      <c r="B195" s="206"/>
      <c r="C195" s="28"/>
      <c r="D195" s="28"/>
      <c r="E195" s="28"/>
      <c r="F195" s="28"/>
      <c r="G195" s="28"/>
      <c r="H195" s="28"/>
      <c r="I195" s="28"/>
      <c r="J195" s="28"/>
      <c r="K195" s="5"/>
    </row>
    <row r="196" spans="1:11" ht="14.25">
      <c r="A196" s="194">
        <v>8.15</v>
      </c>
      <c r="B196" s="206" t="s">
        <v>299</v>
      </c>
      <c r="C196" s="28" t="s">
        <v>279</v>
      </c>
      <c r="D196" s="28"/>
      <c r="E196" s="28"/>
      <c r="F196" s="28"/>
      <c r="G196" s="28"/>
      <c r="H196" s="28"/>
      <c r="I196" s="28" t="s">
        <v>124</v>
      </c>
      <c r="J196" s="14">
        <v>1000</v>
      </c>
      <c r="K196" s="5">
        <f>J196</f>
        <v>1000</v>
      </c>
    </row>
    <row r="197" spans="1:11" ht="14.25">
      <c r="A197" s="194"/>
      <c r="B197" s="206"/>
      <c r="C197" s="28"/>
      <c r="D197" s="28"/>
      <c r="E197" s="28"/>
      <c r="F197" s="28"/>
      <c r="G197" s="28"/>
      <c r="H197" s="28"/>
      <c r="I197" s="28"/>
      <c r="J197" s="28"/>
      <c r="K197" s="5"/>
    </row>
    <row r="198" spans="1:11" ht="14.25">
      <c r="A198" s="194">
        <v>8.16</v>
      </c>
      <c r="B198" s="206" t="s">
        <v>300</v>
      </c>
      <c r="C198" s="28" t="s">
        <v>279</v>
      </c>
      <c r="D198" s="28"/>
      <c r="E198" s="28"/>
      <c r="F198" s="28"/>
      <c r="G198" s="28"/>
      <c r="H198" s="28"/>
      <c r="I198" s="28" t="s">
        <v>124</v>
      </c>
      <c r="J198" s="14">
        <v>3000</v>
      </c>
      <c r="K198" s="5">
        <f>J198</f>
        <v>3000</v>
      </c>
    </row>
    <row r="199" spans="1:11" ht="14.25">
      <c r="A199" s="194"/>
      <c r="B199" s="206"/>
      <c r="C199" s="28"/>
      <c r="D199" s="28"/>
      <c r="E199" s="28"/>
      <c r="F199" s="28"/>
      <c r="G199" s="28"/>
      <c r="H199" s="28"/>
      <c r="I199" s="28"/>
      <c r="J199" s="28"/>
      <c r="K199" s="5"/>
    </row>
    <row r="200" spans="1:11" ht="14.25">
      <c r="A200" s="192">
        <v>8.1999999999999993</v>
      </c>
      <c r="B200" s="204" t="s">
        <v>97</v>
      </c>
      <c r="C200" s="28"/>
      <c r="D200" s="28"/>
      <c r="E200" s="28"/>
      <c r="F200" s="28"/>
      <c r="G200" s="28"/>
      <c r="H200" s="28"/>
      <c r="I200" s="28"/>
      <c r="J200" s="28"/>
      <c r="K200" s="5"/>
    </row>
    <row r="201" spans="1:11" ht="14.25">
      <c r="A201" s="276"/>
      <c r="B201" s="206"/>
      <c r="C201" s="28"/>
      <c r="D201" s="28"/>
      <c r="E201" s="28"/>
      <c r="F201" s="28"/>
      <c r="G201" s="28"/>
      <c r="H201" s="28"/>
      <c r="I201" s="28"/>
      <c r="J201" s="28"/>
      <c r="K201" s="5"/>
    </row>
    <row r="202" spans="1:11" ht="25.5">
      <c r="A202" s="361"/>
      <c r="B202" s="294" t="s">
        <v>171</v>
      </c>
      <c r="C202" s="28"/>
      <c r="D202" s="28"/>
      <c r="E202" s="28"/>
      <c r="F202" s="28"/>
      <c r="G202" s="28"/>
      <c r="H202" s="28"/>
      <c r="I202" s="28"/>
      <c r="J202" s="28"/>
      <c r="K202" s="5"/>
    </row>
    <row r="203" spans="1:11" ht="14.25">
      <c r="A203" s="361"/>
      <c r="B203" s="294"/>
      <c r="C203" s="28"/>
      <c r="D203" s="28"/>
      <c r="E203" s="28"/>
      <c r="F203" s="28"/>
      <c r="G203" s="28"/>
      <c r="H203" s="28"/>
      <c r="I203" s="28"/>
      <c r="J203" s="28"/>
      <c r="K203" s="5"/>
    </row>
    <row r="204" spans="1:11" ht="15.75">
      <c r="A204" s="276">
        <v>8.2100000000000009</v>
      </c>
      <c r="B204" s="294" t="s">
        <v>430</v>
      </c>
      <c r="C204" s="28" t="s">
        <v>37</v>
      </c>
      <c r="D204" s="28">
        <v>4.3499999999999996</v>
      </c>
      <c r="E204" s="28">
        <v>3.7</v>
      </c>
      <c r="F204" s="28"/>
      <c r="G204" s="28"/>
      <c r="H204" s="28"/>
      <c r="I204" s="393">
        <f>D204*E204</f>
        <v>16.094999999999999</v>
      </c>
      <c r="J204" s="14">
        <v>1200</v>
      </c>
      <c r="K204" s="5">
        <f>I204*J204</f>
        <v>19314</v>
      </c>
    </row>
    <row r="205" spans="1:11" ht="14.25">
      <c r="A205" s="361"/>
      <c r="B205" s="294"/>
      <c r="C205" s="28"/>
      <c r="D205" s="28"/>
      <c r="E205" s="28"/>
      <c r="F205" s="28"/>
      <c r="G205" s="28"/>
      <c r="H205" s="28"/>
      <c r="I205" s="28"/>
      <c r="J205" s="28"/>
      <c r="K205" s="5"/>
    </row>
    <row r="206" spans="1:11" ht="15.75">
      <c r="A206" s="276">
        <v>8.2200000000000006</v>
      </c>
      <c r="B206" s="294" t="s">
        <v>301</v>
      </c>
      <c r="C206" s="28" t="s">
        <v>37</v>
      </c>
      <c r="D206" s="28">
        <v>0.1</v>
      </c>
      <c r="E206" s="28"/>
      <c r="F206" s="28"/>
      <c r="G206" s="28"/>
      <c r="H206" s="28"/>
      <c r="I206" s="393">
        <f>((D204*2)+(E204*4)-(0.9*2))*D206</f>
        <v>2.17</v>
      </c>
      <c r="J206" s="28">
        <v>1200</v>
      </c>
      <c r="K206" s="5">
        <f>I206*J206</f>
        <v>2604</v>
      </c>
    </row>
    <row r="207" spans="1:11" ht="14.25">
      <c r="A207" s="276"/>
      <c r="B207" s="294"/>
      <c r="C207" s="28"/>
      <c r="D207" s="28"/>
      <c r="E207" s="28"/>
      <c r="F207" s="28"/>
      <c r="G207" s="28"/>
      <c r="H207" s="28"/>
      <c r="I207" s="28"/>
      <c r="J207" s="14"/>
      <c r="K207" s="5"/>
    </row>
    <row r="208" spans="1:11" ht="25.5">
      <c r="A208" s="194">
        <v>8.23</v>
      </c>
      <c r="B208" s="294" t="s">
        <v>431</v>
      </c>
      <c r="C208" s="28" t="s">
        <v>37</v>
      </c>
      <c r="D208" s="28">
        <v>1.2</v>
      </c>
      <c r="E208" s="28">
        <v>3.7</v>
      </c>
      <c r="F208" s="28">
        <v>1.5</v>
      </c>
      <c r="G208" s="28"/>
      <c r="H208" s="28"/>
      <c r="I208" s="393">
        <f>(D208*E208*F208)-(1.5*0.9)</f>
        <v>5.3100000000000005</v>
      </c>
      <c r="J208" s="14">
        <v>902</v>
      </c>
      <c r="K208" s="5">
        <f>I208*J208</f>
        <v>4789.6200000000008</v>
      </c>
    </row>
    <row r="209" spans="1:11" ht="14.25">
      <c r="A209" s="276"/>
      <c r="B209" s="294"/>
      <c r="C209" s="112"/>
      <c r="D209" s="113"/>
      <c r="E209" s="113"/>
      <c r="F209" s="113"/>
      <c r="G209" s="113"/>
      <c r="H209" s="113"/>
      <c r="I209" s="112"/>
      <c r="J209" s="117"/>
      <c r="K209" s="118"/>
    </row>
    <row r="210" spans="1:11" s="154" customFormat="1">
      <c r="A210" s="487" t="s">
        <v>109</v>
      </c>
      <c r="B210" s="488"/>
      <c r="C210" s="488"/>
      <c r="D210" s="488"/>
      <c r="E210" s="488"/>
      <c r="F210" s="488"/>
      <c r="G210" s="488"/>
      <c r="H210" s="488"/>
      <c r="I210" s="488"/>
      <c r="J210" s="489"/>
      <c r="K210" s="240">
        <f>SUM(K181:K209)</f>
        <v>54118.12</v>
      </c>
    </row>
    <row r="211" spans="1:11" s="154" customFormat="1">
      <c r="A211" s="361"/>
      <c r="B211" s="294"/>
      <c r="C211" s="19"/>
      <c r="D211" s="19"/>
      <c r="E211" s="19"/>
      <c r="F211" s="19"/>
      <c r="G211" s="19"/>
      <c r="H211" s="19"/>
      <c r="I211" s="19"/>
      <c r="J211" s="14"/>
      <c r="K211" s="5"/>
    </row>
    <row r="212" spans="1:11" s="154" customFormat="1">
      <c r="A212" s="192">
        <v>9</v>
      </c>
      <c r="B212" s="204" t="s">
        <v>306</v>
      </c>
      <c r="C212" s="28"/>
      <c r="D212" s="28"/>
      <c r="E212" s="28"/>
      <c r="F212" s="28"/>
      <c r="G212" s="28"/>
      <c r="H212" s="28"/>
      <c r="I212" s="28"/>
      <c r="J212" s="28"/>
      <c r="K212" s="5"/>
    </row>
    <row r="213" spans="1:11" s="154" customFormat="1">
      <c r="A213" s="361"/>
      <c r="B213" s="294"/>
      <c r="C213" s="28"/>
      <c r="D213" s="28"/>
      <c r="E213" s="28"/>
      <c r="F213" s="28"/>
      <c r="G213" s="28"/>
      <c r="H213" s="28"/>
      <c r="I213" s="28"/>
      <c r="J213" s="321"/>
      <c r="K213" s="5"/>
    </row>
    <row r="214" spans="1:11" s="154" customFormat="1" ht="38.25">
      <c r="A214" s="276">
        <v>9.1</v>
      </c>
      <c r="B214" s="294" t="s">
        <v>307</v>
      </c>
      <c r="C214" s="28" t="s">
        <v>37</v>
      </c>
      <c r="D214" s="28"/>
      <c r="E214" s="28"/>
      <c r="F214" s="28"/>
      <c r="G214" s="28"/>
      <c r="H214" s="28"/>
      <c r="I214" s="393">
        <f>22.1*1.2</f>
        <v>26.52</v>
      </c>
      <c r="J214" s="14">
        <v>1800</v>
      </c>
      <c r="K214" s="5">
        <f>I214*J214</f>
        <v>47736</v>
      </c>
    </row>
    <row r="215" spans="1:11" ht="14.25">
      <c r="A215" s="119"/>
      <c r="B215" s="120"/>
      <c r="C215" s="112"/>
      <c r="D215" s="113"/>
      <c r="E215" s="113"/>
      <c r="F215" s="113"/>
      <c r="G215" s="113"/>
      <c r="H215" s="113"/>
      <c r="I215" s="112"/>
      <c r="J215" s="117"/>
      <c r="K215" s="118"/>
    </row>
    <row r="216" spans="1:11" s="154" customFormat="1">
      <c r="A216" s="487" t="s">
        <v>173</v>
      </c>
      <c r="B216" s="488"/>
      <c r="C216" s="488"/>
      <c r="D216" s="488"/>
      <c r="E216" s="488"/>
      <c r="F216" s="488"/>
      <c r="G216" s="488"/>
      <c r="H216" s="488"/>
      <c r="I216" s="488"/>
      <c r="J216" s="489"/>
      <c r="K216" s="383">
        <f>SUM(K211:K214)</f>
        <v>47736</v>
      </c>
    </row>
    <row r="217" spans="1:11" s="154" customFormat="1">
      <c r="A217" s="361"/>
      <c r="B217" s="294"/>
      <c r="C217" s="19"/>
      <c r="D217" s="19"/>
      <c r="E217" s="19"/>
      <c r="F217" s="19"/>
      <c r="G217" s="19"/>
      <c r="H217" s="19"/>
      <c r="I217" s="19"/>
      <c r="J217" s="14"/>
      <c r="K217" s="5"/>
    </row>
    <row r="218" spans="1:11" s="154" customFormat="1">
      <c r="A218" s="192">
        <v>10</v>
      </c>
      <c r="B218" s="204" t="s">
        <v>139</v>
      </c>
      <c r="C218" s="28"/>
      <c r="D218" s="28"/>
      <c r="E218" s="28"/>
      <c r="F218" s="28"/>
      <c r="G218" s="28"/>
      <c r="H218" s="28"/>
      <c r="I218" s="28"/>
      <c r="J218" s="28"/>
      <c r="K218" s="5"/>
    </row>
    <row r="219" spans="1:11" s="154" customFormat="1">
      <c r="A219" s="361"/>
      <c r="B219" s="294"/>
      <c r="C219" s="28"/>
      <c r="D219" s="28"/>
      <c r="E219" s="28"/>
      <c r="F219" s="28"/>
      <c r="G219" s="28"/>
      <c r="H219" s="28"/>
      <c r="I219" s="28"/>
      <c r="J219" s="321"/>
      <c r="K219" s="5"/>
    </row>
    <row r="220" spans="1:11" s="154" customFormat="1" ht="84" customHeight="1">
      <c r="A220" s="276">
        <v>10.1</v>
      </c>
      <c r="B220" s="294" t="s">
        <v>302</v>
      </c>
      <c r="C220" s="28" t="s">
        <v>124</v>
      </c>
      <c r="D220" s="28"/>
      <c r="E220" s="28"/>
      <c r="F220" s="28"/>
      <c r="G220" s="28"/>
      <c r="H220" s="28"/>
      <c r="I220" s="28">
        <v>1</v>
      </c>
      <c r="J220" s="14">
        <v>60000</v>
      </c>
      <c r="K220" s="5">
        <f>J220</f>
        <v>60000</v>
      </c>
    </row>
    <row r="221" spans="1:11" ht="14.25">
      <c r="A221" s="119"/>
      <c r="B221" s="120"/>
      <c r="C221" s="112"/>
      <c r="D221" s="113"/>
      <c r="E221" s="113"/>
      <c r="F221" s="113"/>
      <c r="G221" s="113"/>
      <c r="H221" s="113"/>
      <c r="I221" s="112"/>
      <c r="J221" s="117"/>
      <c r="K221" s="118"/>
    </row>
    <row r="222" spans="1:11" s="154" customFormat="1">
      <c r="A222" s="487" t="s">
        <v>190</v>
      </c>
      <c r="B222" s="488"/>
      <c r="C222" s="488"/>
      <c r="D222" s="488"/>
      <c r="E222" s="488"/>
      <c r="F222" s="488"/>
      <c r="G222" s="488"/>
      <c r="H222" s="488"/>
      <c r="I222" s="488"/>
      <c r="J222" s="489"/>
      <c r="K222" s="305">
        <f>SUM(K217:K220)</f>
        <v>60000</v>
      </c>
    </row>
    <row r="223" spans="1:11" ht="14.25">
      <c r="A223" s="214"/>
      <c r="B223" s="72"/>
      <c r="C223" s="28"/>
      <c r="D223" s="28"/>
      <c r="E223" s="28"/>
      <c r="F223" s="28"/>
      <c r="G223" s="28"/>
      <c r="H223" s="28"/>
      <c r="I223" s="28"/>
      <c r="J223" s="212"/>
      <c r="K223" s="6"/>
    </row>
    <row r="224" spans="1:11" ht="14.25">
      <c r="A224" s="192">
        <v>11</v>
      </c>
      <c r="B224" s="75" t="s">
        <v>193</v>
      </c>
      <c r="C224" s="19"/>
      <c r="D224" s="10"/>
      <c r="E224" s="10"/>
      <c r="F224" s="10"/>
      <c r="G224" s="10"/>
      <c r="H224" s="10"/>
      <c r="I224" s="10"/>
      <c r="J224" s="5"/>
      <c r="K224" s="5"/>
    </row>
    <row r="225" spans="1:13" ht="14.25">
      <c r="A225" s="192"/>
      <c r="B225" s="354"/>
      <c r="C225" s="87"/>
      <c r="D225" s="355"/>
      <c r="E225" s="355"/>
      <c r="F225" s="355"/>
      <c r="G225" s="355"/>
      <c r="H225" s="355"/>
      <c r="I225" s="355"/>
      <c r="J225" s="6"/>
      <c r="K225" s="5"/>
    </row>
    <row r="226" spans="1:13" ht="14.25">
      <c r="A226" s="191">
        <v>11.1</v>
      </c>
      <c r="B226" s="241" t="s">
        <v>305</v>
      </c>
      <c r="C226" s="28" t="s">
        <v>124</v>
      </c>
      <c r="D226" s="29"/>
      <c r="E226" s="29"/>
      <c r="F226" s="29"/>
      <c r="G226" s="29"/>
      <c r="H226" s="29"/>
      <c r="I226" s="29">
        <v>1</v>
      </c>
      <c r="J226" s="6">
        <v>5000</v>
      </c>
      <c r="K226" s="5">
        <f>I226*J226</f>
        <v>5000</v>
      </c>
    </row>
    <row r="227" spans="1:13" ht="14.25">
      <c r="A227" s="202"/>
      <c r="B227" s="210"/>
      <c r="C227" s="28"/>
      <c r="D227" s="28"/>
      <c r="E227" s="28"/>
      <c r="F227" s="28"/>
      <c r="G227" s="28"/>
      <c r="H227" s="28"/>
      <c r="I227" s="28"/>
      <c r="J227" s="28"/>
      <c r="K227" s="5"/>
    </row>
    <row r="228" spans="1:13" s="154" customFormat="1">
      <c r="A228" s="487" t="s">
        <v>115</v>
      </c>
      <c r="B228" s="488"/>
      <c r="C228" s="488"/>
      <c r="D228" s="488"/>
      <c r="E228" s="488"/>
      <c r="F228" s="488"/>
      <c r="G228" s="488"/>
      <c r="H228" s="488"/>
      <c r="I228" s="488"/>
      <c r="J228" s="489"/>
      <c r="K228" s="356">
        <f>SUM(K223:K226)</f>
        <v>5000</v>
      </c>
    </row>
    <row r="229" spans="1:13" s="154" customFormat="1">
      <c r="A229" s="512"/>
      <c r="B229" s="513"/>
      <c r="C229" s="513"/>
      <c r="D229" s="513"/>
      <c r="E229" s="513"/>
      <c r="F229" s="513"/>
      <c r="G229" s="513"/>
      <c r="H229" s="513"/>
      <c r="I229" s="513"/>
      <c r="J229" s="513"/>
      <c r="K229" s="514"/>
    </row>
    <row r="230" spans="1:13" ht="14.25" customHeight="1">
      <c r="A230" s="497" t="s">
        <v>108</v>
      </c>
      <c r="B230" s="497"/>
      <c r="C230" s="497"/>
      <c r="D230" s="497"/>
      <c r="E230" s="497"/>
      <c r="F230" s="497"/>
      <c r="G230" s="497"/>
      <c r="H230" s="497"/>
      <c r="I230" s="497"/>
      <c r="J230" s="497"/>
      <c r="K230" s="203">
        <f>K31+K54+K76+K93+K119+K147+K180+K210+K216+K222+K228</f>
        <v>728983.51611917198</v>
      </c>
    </row>
    <row r="231" spans="1:13" ht="14.25" customHeight="1">
      <c r="A231" s="497" t="s">
        <v>107</v>
      </c>
      <c r="B231" s="497" t="s">
        <v>7</v>
      </c>
      <c r="C231" s="497"/>
      <c r="D231" s="497"/>
      <c r="E231" s="497"/>
      <c r="F231" s="497"/>
      <c r="G231" s="497"/>
      <c r="H231" s="497"/>
      <c r="I231" s="497"/>
      <c r="J231" s="497"/>
      <c r="K231" s="203">
        <f>0.05*K230</f>
        <v>36449.175805958599</v>
      </c>
    </row>
    <row r="232" spans="1:13" ht="14.25">
      <c r="A232" s="497" t="s">
        <v>108</v>
      </c>
      <c r="B232" s="497"/>
      <c r="C232" s="497"/>
      <c r="D232" s="497"/>
      <c r="E232" s="497"/>
      <c r="F232" s="497"/>
      <c r="G232" s="497"/>
      <c r="H232" s="497"/>
      <c r="I232" s="497"/>
      <c r="J232" s="497"/>
      <c r="K232" s="203">
        <f>K230+K231</f>
        <v>765432.69192513055</v>
      </c>
    </row>
    <row r="233" spans="1:13" s="11" customFormat="1" ht="39.75" customHeight="1">
      <c r="A233" s="496" t="s">
        <v>222</v>
      </c>
      <c r="B233" s="496"/>
      <c r="C233" s="496"/>
      <c r="D233" s="496"/>
      <c r="E233" s="496"/>
      <c r="F233" s="496"/>
      <c r="G233" s="496"/>
      <c r="H233" s="496"/>
      <c r="I233" s="496"/>
      <c r="J233" s="496"/>
      <c r="K233" s="496"/>
    </row>
    <row r="234" spans="1:13" s="41" customFormat="1" ht="14.25">
      <c r="A234" s="59"/>
      <c r="B234" s="65"/>
      <c r="C234" s="60"/>
      <c r="D234" s="63"/>
      <c r="E234" s="63"/>
      <c r="F234" s="63"/>
      <c r="G234" s="63"/>
      <c r="H234" s="63"/>
      <c r="I234" s="89"/>
      <c r="J234" s="56"/>
      <c r="K234" s="56"/>
    </row>
    <row r="235" spans="1:13" s="41" customFormat="1" ht="14.25">
      <c r="A235" s="59"/>
      <c r="B235" s="12"/>
      <c r="C235" s="64"/>
      <c r="D235" s="63"/>
      <c r="E235" s="63"/>
      <c r="F235" s="63"/>
      <c r="G235" s="63"/>
      <c r="H235" s="63"/>
      <c r="I235" s="89"/>
      <c r="J235" s="62"/>
      <c r="K235" s="62"/>
      <c r="L235" s="61"/>
      <c r="M235" s="61"/>
    </row>
    <row r="236" spans="1:13" s="41" customFormat="1" ht="14.25">
      <c r="A236" s="59"/>
      <c r="B236" s="58"/>
      <c r="C236" s="57"/>
      <c r="D236" s="11"/>
      <c r="E236" s="11"/>
      <c r="F236" s="11"/>
      <c r="G236" s="11"/>
      <c r="H236" s="11"/>
      <c r="I236" s="68"/>
      <c r="J236" s="56"/>
      <c r="K236" s="56"/>
    </row>
    <row r="237" spans="1:13" s="41" customFormat="1" ht="14.25">
      <c r="A237" s="51"/>
      <c r="B237" s="54"/>
      <c r="C237" s="88"/>
      <c r="D237" s="11"/>
      <c r="E237" s="11"/>
      <c r="F237" s="11"/>
      <c r="G237" s="11"/>
      <c r="H237" s="11"/>
      <c r="I237" s="68"/>
      <c r="J237" s="56"/>
      <c r="K237" s="52"/>
    </row>
    <row r="238" spans="1:13" s="41" customFormat="1" ht="14.25">
      <c r="A238" s="51"/>
      <c r="B238" s="50"/>
      <c r="C238" s="49"/>
      <c r="D238" s="11"/>
      <c r="E238" s="11"/>
      <c r="F238" s="11"/>
      <c r="G238" s="11"/>
      <c r="H238" s="11"/>
      <c r="I238" s="68"/>
      <c r="J238" s="90"/>
      <c r="K238" s="52"/>
    </row>
    <row r="239" spans="1:13" s="41" customFormat="1" ht="14.25">
      <c r="A239" s="51"/>
      <c r="B239" s="50"/>
      <c r="C239" s="49"/>
      <c r="D239" s="11"/>
      <c r="E239" s="11"/>
      <c r="F239" s="11"/>
      <c r="G239" s="11"/>
      <c r="H239" s="11"/>
      <c r="I239" s="68"/>
      <c r="J239" s="90"/>
      <c r="K239" s="52"/>
    </row>
    <row r="240" spans="1:13" s="41" customFormat="1" ht="14.25">
      <c r="A240" s="51"/>
      <c r="B240" s="55"/>
      <c r="C240" s="49"/>
      <c r="D240" s="11"/>
      <c r="E240" s="11"/>
      <c r="F240" s="11"/>
      <c r="G240" s="11"/>
      <c r="H240" s="11"/>
      <c r="I240" s="68"/>
      <c r="J240" s="90"/>
      <c r="K240" s="52"/>
    </row>
    <row r="241" spans="1:11" s="41" customFormat="1" ht="14.25">
      <c r="A241" s="51"/>
      <c r="B241" s="54"/>
      <c r="C241" s="49"/>
      <c r="D241" s="11"/>
      <c r="E241" s="11"/>
      <c r="F241" s="11"/>
      <c r="G241" s="11"/>
      <c r="H241" s="11"/>
      <c r="I241" s="68"/>
      <c r="J241" s="90"/>
      <c r="K241" s="52"/>
    </row>
    <row r="242" spans="1:11" s="41" customFormat="1" ht="14.25">
      <c r="A242" s="51"/>
      <c r="B242" s="53"/>
      <c r="C242" s="49"/>
      <c r="D242" s="11"/>
      <c r="E242" s="11"/>
      <c r="F242" s="11"/>
      <c r="G242" s="11"/>
      <c r="H242" s="11"/>
      <c r="I242" s="68"/>
      <c r="J242" s="90"/>
      <c r="K242" s="52"/>
    </row>
    <row r="243" spans="1:11" s="41" customFormat="1" ht="14.25">
      <c r="A243" s="51"/>
      <c r="B243" s="50"/>
      <c r="C243" s="49"/>
      <c r="D243" s="11"/>
      <c r="E243" s="11"/>
      <c r="F243" s="11"/>
      <c r="G243" s="11"/>
      <c r="H243" s="11"/>
      <c r="I243" s="68"/>
      <c r="J243" s="90"/>
      <c r="K243" s="42"/>
    </row>
    <row r="244" spans="1:11" s="41" customFormat="1" ht="14.25">
      <c r="A244" s="85"/>
      <c r="B244" s="48"/>
      <c r="C244" s="47"/>
      <c r="D244" s="11"/>
      <c r="E244" s="11"/>
      <c r="F244" s="11"/>
      <c r="G244" s="11"/>
      <c r="H244" s="11"/>
      <c r="I244" s="68"/>
      <c r="J244" s="56"/>
      <c r="K244" s="46"/>
    </row>
    <row r="245" spans="1:11" s="41" customFormat="1" ht="14.25">
      <c r="A245" s="45"/>
      <c r="B245" s="44"/>
      <c r="C245" s="43"/>
      <c r="D245" s="11"/>
      <c r="E245" s="11"/>
      <c r="F245" s="11"/>
      <c r="G245" s="11"/>
      <c r="H245" s="11"/>
      <c r="I245" s="68"/>
      <c r="J245" s="56"/>
      <c r="K245" s="42"/>
    </row>
  </sheetData>
  <mergeCells count="19">
    <mergeCell ref="A54:J54"/>
    <mergeCell ref="A1:I1"/>
    <mergeCell ref="A2:K2"/>
    <mergeCell ref="D3:H3"/>
    <mergeCell ref="A31:J31"/>
    <mergeCell ref="A233:K233"/>
    <mergeCell ref="A230:J230"/>
    <mergeCell ref="A231:J231"/>
    <mergeCell ref="A232:J232"/>
    <mergeCell ref="A76:J76"/>
    <mergeCell ref="A147:J147"/>
    <mergeCell ref="A210:J210"/>
    <mergeCell ref="A119:J119"/>
    <mergeCell ref="A180:J180"/>
    <mergeCell ref="A222:J222"/>
    <mergeCell ref="A93:J93"/>
    <mergeCell ref="A228:J228"/>
    <mergeCell ref="A229:K229"/>
    <mergeCell ref="A216:J216"/>
  </mergeCells>
  <pageMargins left="0.9" right="0.22" top="0.78740157499999996" bottom="0.78740157499999996" header="0.3" footer="0.3"/>
  <pageSetup scale="7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zoomScale="80" zoomScaleNormal="80" zoomScaleSheetLayoutView="100" workbookViewId="0">
      <selection activeCell="B81" sqref="B81"/>
    </sheetView>
  </sheetViews>
  <sheetFormatPr defaultColWidth="9.140625" defaultRowHeight="14.25"/>
  <cols>
    <col min="1" max="1" width="9.28515625" style="24" customWidth="1"/>
    <col min="2" max="2" width="60.7109375" style="77" customWidth="1"/>
    <col min="3" max="3" width="9.7109375" style="68" customWidth="1"/>
    <col min="4" max="6" width="10.7109375" style="68" customWidth="1"/>
    <col min="7" max="7" width="5.7109375" style="68" customWidth="1"/>
    <col min="8" max="8" width="37.85546875" style="68" customWidth="1"/>
    <col min="9" max="9" width="10.7109375" style="68" customWidth="1"/>
    <col min="10" max="10" width="20.42578125" style="68" customWidth="1"/>
    <col min="11" max="11" width="15.5703125" style="11" bestFit="1" customWidth="1"/>
    <col min="12" max="12" width="14.5703125" style="8" bestFit="1" customWidth="1"/>
    <col min="13" max="16384" width="9.140625" style="8"/>
  </cols>
  <sheetData>
    <row r="1" spans="1:11" ht="48.75" customHeight="1">
      <c r="A1" s="485" t="s">
        <v>99</v>
      </c>
      <c r="B1" s="486"/>
      <c r="C1" s="486"/>
      <c r="D1" s="486"/>
      <c r="E1" s="486"/>
      <c r="F1" s="486"/>
      <c r="G1" s="486"/>
      <c r="H1" s="486"/>
      <c r="I1" s="486"/>
      <c r="J1" s="228"/>
      <c r="K1" s="151"/>
    </row>
    <row r="2" spans="1:11" ht="14.25" customHeight="1">
      <c r="A2" s="505" t="s">
        <v>415</v>
      </c>
      <c r="B2" s="505"/>
      <c r="C2" s="505"/>
      <c r="D2" s="505"/>
      <c r="E2" s="505"/>
      <c r="F2" s="505"/>
      <c r="G2" s="505"/>
      <c r="H2" s="505"/>
      <c r="I2" s="505"/>
      <c r="J2" s="505"/>
      <c r="K2" s="505"/>
    </row>
    <row r="3" spans="1:11" ht="14.25" customHeight="1">
      <c r="A3" s="158" t="s">
        <v>0</v>
      </c>
      <c r="B3" s="159" t="s">
        <v>1</v>
      </c>
      <c r="C3" s="105" t="s">
        <v>2</v>
      </c>
      <c r="D3" s="506" t="s">
        <v>32</v>
      </c>
      <c r="E3" s="507"/>
      <c r="F3" s="507"/>
      <c r="G3" s="507"/>
      <c r="H3" s="508"/>
      <c r="I3" s="105" t="s">
        <v>98</v>
      </c>
      <c r="J3" s="105" t="s">
        <v>4</v>
      </c>
      <c r="K3" s="105" t="s">
        <v>5</v>
      </c>
    </row>
    <row r="4" spans="1:11">
      <c r="A4" s="215"/>
      <c r="B4" s="300"/>
      <c r="C4" s="13"/>
      <c r="D4" s="13"/>
      <c r="E4" s="13"/>
      <c r="F4" s="13"/>
      <c r="G4" s="13"/>
      <c r="H4" s="13"/>
      <c r="I4" s="13"/>
      <c r="J4" s="13"/>
      <c r="K4" s="13"/>
    </row>
    <row r="5" spans="1:11" s="11" customFormat="1">
      <c r="A5" s="110">
        <v>1</v>
      </c>
      <c r="B5" s="111" t="s">
        <v>225</v>
      </c>
      <c r="C5" s="112"/>
      <c r="D5" s="309"/>
      <c r="E5" s="309"/>
      <c r="F5" s="246"/>
      <c r="G5" s="246"/>
      <c r="H5" s="246"/>
      <c r="I5" s="112"/>
      <c r="J5" s="108"/>
      <c r="K5" s="109"/>
    </row>
    <row r="6" spans="1:11" s="11" customFormat="1">
      <c r="A6" s="110"/>
      <c r="B6" s="111"/>
      <c r="C6" s="112"/>
      <c r="D6" s="309"/>
      <c r="E6" s="309"/>
      <c r="F6" s="246"/>
      <c r="G6" s="246"/>
      <c r="H6" s="246"/>
      <c r="I6" s="112"/>
      <c r="J6" s="108"/>
      <c r="K6" s="109"/>
    </row>
    <row r="7" spans="1:11" s="11" customFormat="1">
      <c r="A7" s="110">
        <v>1.1000000000000001</v>
      </c>
      <c r="B7" s="111" t="s">
        <v>46</v>
      </c>
      <c r="C7" s="112"/>
      <c r="D7" s="246"/>
      <c r="E7" s="246"/>
      <c r="F7" s="246"/>
      <c r="G7" s="246"/>
      <c r="H7" s="246"/>
      <c r="I7" s="112"/>
      <c r="J7" s="108"/>
      <c r="K7" s="109"/>
    </row>
    <row r="8" spans="1:11" s="11" customFormat="1" ht="15">
      <c r="A8" s="110"/>
      <c r="B8" s="114"/>
      <c r="C8" s="112"/>
      <c r="D8" s="246"/>
      <c r="E8" s="246"/>
      <c r="F8" s="246"/>
      <c r="G8" s="246"/>
      <c r="H8" s="246"/>
      <c r="I8" s="112"/>
      <c r="J8" s="108"/>
      <c r="K8" s="109"/>
    </row>
    <row r="9" spans="1:11" s="11" customFormat="1" ht="25.5">
      <c r="A9" s="473">
        <v>1.1100000000000001</v>
      </c>
      <c r="B9" s="474" t="s">
        <v>224</v>
      </c>
      <c r="C9" s="410" t="s">
        <v>9</v>
      </c>
      <c r="D9" s="412"/>
      <c r="E9" s="412"/>
      <c r="F9" s="412"/>
      <c r="G9" s="412"/>
      <c r="H9" s="412"/>
      <c r="I9" s="410">
        <v>0.25</v>
      </c>
      <c r="J9" s="411">
        <v>80000</v>
      </c>
      <c r="K9" s="404">
        <f>I9*J9</f>
        <v>20000</v>
      </c>
    </row>
    <row r="10" spans="1:11" s="11" customFormat="1">
      <c r="A10" s="110"/>
      <c r="B10" s="116"/>
      <c r="C10" s="112"/>
      <c r="D10" s="246"/>
      <c r="E10" s="246"/>
      <c r="F10" s="246"/>
      <c r="G10" s="246"/>
      <c r="H10" s="246"/>
      <c r="I10" s="112"/>
      <c r="J10" s="117"/>
      <c r="K10" s="118"/>
    </row>
    <row r="11" spans="1:11" s="11" customFormat="1">
      <c r="A11" s="110">
        <v>1.2</v>
      </c>
      <c r="B11" s="111" t="s">
        <v>47</v>
      </c>
      <c r="C11" s="112"/>
      <c r="D11" s="246"/>
      <c r="E11" s="246"/>
      <c r="F11" s="246"/>
      <c r="G11" s="246"/>
      <c r="H11" s="246"/>
      <c r="I11" s="112"/>
      <c r="J11" s="117"/>
      <c r="K11" s="118"/>
    </row>
    <row r="12" spans="1:11" s="11" customFormat="1">
      <c r="A12" s="380"/>
      <c r="B12" s="381"/>
      <c r="C12" s="382"/>
      <c r="D12" s="13"/>
      <c r="E12" s="13"/>
      <c r="F12" s="13"/>
      <c r="G12" s="13"/>
      <c r="H12" s="13"/>
      <c r="I12" s="382"/>
      <c r="J12" s="13"/>
      <c r="K12" s="13"/>
    </row>
    <row r="13" spans="1:11" s="11" customFormat="1">
      <c r="A13" s="469">
        <v>1.21</v>
      </c>
      <c r="B13" s="470" t="s">
        <v>44</v>
      </c>
      <c r="C13" s="471" t="s">
        <v>11</v>
      </c>
      <c r="D13" s="472"/>
      <c r="E13" s="472"/>
      <c r="F13" s="472"/>
      <c r="G13" s="472"/>
      <c r="H13" s="472"/>
      <c r="I13" s="471">
        <v>2</v>
      </c>
      <c r="J13" s="471">
        <v>1380</v>
      </c>
      <c r="K13" s="471">
        <f>I13*J13</f>
        <v>2760</v>
      </c>
    </row>
    <row r="14" spans="1:11" s="11" customFormat="1">
      <c r="A14" s="380"/>
      <c r="B14" s="381"/>
      <c r="C14" s="382"/>
      <c r="D14" s="13"/>
      <c r="E14" s="13"/>
      <c r="F14" s="13"/>
      <c r="G14" s="13"/>
      <c r="H14" s="13"/>
      <c r="I14" s="382"/>
      <c r="J14" s="382"/>
      <c r="K14" s="382"/>
    </row>
    <row r="15" spans="1:11" s="11" customFormat="1">
      <c r="A15" s="469">
        <v>1.22</v>
      </c>
      <c r="B15" s="470" t="s">
        <v>10</v>
      </c>
      <c r="C15" s="471" t="s">
        <v>11</v>
      </c>
      <c r="D15" s="472"/>
      <c r="E15" s="472"/>
      <c r="F15" s="472"/>
      <c r="G15" s="472"/>
      <c r="H15" s="472"/>
      <c r="I15" s="471">
        <v>1</v>
      </c>
      <c r="J15" s="471">
        <v>1600</v>
      </c>
      <c r="K15" s="471">
        <f>I15*J15</f>
        <v>1600</v>
      </c>
    </row>
    <row r="16" spans="1:11" s="11" customFormat="1">
      <c r="A16" s="380"/>
      <c r="B16" s="381"/>
      <c r="C16" s="382"/>
      <c r="D16" s="13"/>
      <c r="E16" s="13"/>
      <c r="F16" s="13"/>
      <c r="G16" s="13"/>
      <c r="H16" s="13"/>
      <c r="I16" s="382"/>
      <c r="J16" s="13"/>
      <c r="K16" s="13"/>
    </row>
    <row r="17" spans="1:11" s="11" customFormat="1" ht="30" customHeight="1">
      <c r="A17" s="380"/>
      <c r="B17" s="381" t="s">
        <v>416</v>
      </c>
      <c r="C17" s="382"/>
      <c r="D17" s="13"/>
      <c r="E17" s="13"/>
      <c r="F17" s="13"/>
      <c r="G17" s="13"/>
      <c r="H17" s="13"/>
      <c r="I17" s="382"/>
      <c r="J17" s="13"/>
      <c r="K17" s="13"/>
    </row>
    <row r="18" spans="1:11">
      <c r="A18" s="380"/>
      <c r="B18" s="381"/>
      <c r="C18" s="382"/>
      <c r="D18" s="13"/>
      <c r="E18" s="13"/>
      <c r="F18" s="13"/>
      <c r="G18" s="13"/>
      <c r="H18" s="13"/>
      <c r="I18" s="382"/>
      <c r="J18" s="13"/>
      <c r="K18" s="13"/>
    </row>
    <row r="19" spans="1:11">
      <c r="A19" s="215">
        <v>1.3</v>
      </c>
      <c r="B19" s="111" t="s">
        <v>227</v>
      </c>
      <c r="C19" s="13"/>
      <c r="D19" s="13"/>
      <c r="E19" s="13"/>
      <c r="F19" s="13"/>
      <c r="G19" s="13"/>
      <c r="H19" s="13"/>
      <c r="I19" s="13"/>
      <c r="J19" s="13"/>
      <c r="K19" s="13"/>
    </row>
    <row r="20" spans="1:11">
      <c r="A20" s="215"/>
      <c r="B20" s="300"/>
      <c r="C20" s="13"/>
      <c r="D20" s="13"/>
      <c r="E20" s="13"/>
      <c r="F20" s="13"/>
      <c r="G20" s="13"/>
      <c r="H20" s="13"/>
      <c r="I20" s="13"/>
      <c r="J20" s="13"/>
      <c r="K20" s="13"/>
    </row>
    <row r="21" spans="1:11" ht="25.5">
      <c r="A21" s="380">
        <v>1.31</v>
      </c>
      <c r="B21" s="381" t="s">
        <v>313</v>
      </c>
      <c r="C21" s="382" t="s">
        <v>279</v>
      </c>
      <c r="D21" s="13"/>
      <c r="E21" s="13"/>
      <c r="F21" s="13"/>
      <c r="G21" s="13"/>
      <c r="H21" s="13"/>
      <c r="I21" s="382" t="s">
        <v>124</v>
      </c>
      <c r="J21" s="382">
        <v>15000</v>
      </c>
      <c r="K21" s="118">
        <f>J21</f>
        <v>15000</v>
      </c>
    </row>
    <row r="22" spans="1:11">
      <c r="A22" s="215"/>
      <c r="B22" s="300"/>
      <c r="C22" s="13"/>
      <c r="D22" s="13"/>
      <c r="E22" s="13"/>
      <c r="F22" s="13"/>
      <c r="G22" s="13"/>
      <c r="H22" s="13"/>
      <c r="I22" s="13"/>
      <c r="J22" s="13"/>
      <c r="K22" s="13"/>
    </row>
    <row r="23" spans="1:11" ht="15.75">
      <c r="A23" s="380">
        <v>1.32</v>
      </c>
      <c r="B23" s="379" t="s">
        <v>228</v>
      </c>
      <c r="C23" s="382" t="s">
        <v>37</v>
      </c>
      <c r="D23" s="13"/>
      <c r="E23" s="13"/>
      <c r="F23" s="13"/>
      <c r="G23" s="13"/>
      <c r="H23" s="13"/>
      <c r="I23" s="463">
        <f>((I9*10000)-((8.4*4.5)+(8.1*3.9)+(8.9*3.4)+(10*6.4)+(9.6*10.4)+(10.4*31.2)+(7.05*6.4)+(3.1*3)+I53))</f>
        <v>1632.6100000000001</v>
      </c>
      <c r="J23" s="382">
        <v>20</v>
      </c>
      <c r="K23" s="118">
        <f>I23*J23</f>
        <v>32652.200000000004</v>
      </c>
    </row>
    <row r="24" spans="1:11">
      <c r="A24" s="380"/>
      <c r="B24" s="379"/>
      <c r="C24" s="382"/>
      <c r="D24" s="13"/>
      <c r="E24" s="13"/>
      <c r="F24" s="13"/>
      <c r="G24" s="13"/>
      <c r="H24" s="13"/>
      <c r="I24" s="382"/>
      <c r="J24" s="382"/>
      <c r="K24" s="280"/>
    </row>
    <row r="25" spans="1:11">
      <c r="A25" s="215">
        <v>1.4</v>
      </c>
      <c r="B25" s="111" t="s">
        <v>229</v>
      </c>
      <c r="C25" s="13"/>
      <c r="D25" s="13"/>
      <c r="E25" s="13"/>
      <c r="F25" s="13"/>
      <c r="G25" s="13"/>
      <c r="H25" s="13"/>
      <c r="I25" s="13"/>
      <c r="J25" s="13"/>
      <c r="K25" s="13"/>
    </row>
    <row r="26" spans="1:11">
      <c r="A26" s="215"/>
      <c r="B26" s="300"/>
      <c r="C26" s="13"/>
      <c r="D26" s="13"/>
      <c r="E26" s="13"/>
      <c r="F26" s="13"/>
      <c r="G26" s="13"/>
      <c r="H26" s="13"/>
      <c r="I26" s="13"/>
      <c r="J26" s="13"/>
      <c r="K26" s="13"/>
    </row>
    <row r="27" spans="1:11" ht="25.5">
      <c r="A27" s="469">
        <v>1.41</v>
      </c>
      <c r="B27" s="470" t="s">
        <v>312</v>
      </c>
      <c r="C27" s="471" t="s">
        <v>3</v>
      </c>
      <c r="D27" s="472"/>
      <c r="E27" s="472"/>
      <c r="F27" s="472"/>
      <c r="G27" s="472"/>
      <c r="H27" s="472"/>
      <c r="I27" s="471">
        <v>50</v>
      </c>
      <c r="J27" s="471">
        <v>150</v>
      </c>
      <c r="K27" s="404">
        <f>I27*J27</f>
        <v>7500</v>
      </c>
    </row>
    <row r="28" spans="1:11">
      <c r="A28" s="191"/>
      <c r="B28" s="4"/>
      <c r="C28" s="19"/>
      <c r="D28" s="19"/>
      <c r="E28" s="19"/>
      <c r="F28" s="19"/>
      <c r="G28" s="19"/>
      <c r="H28" s="19"/>
      <c r="I28" s="19"/>
      <c r="J28" s="14"/>
      <c r="K28" s="5"/>
    </row>
    <row r="29" spans="1:11" s="154" customFormat="1" ht="15">
      <c r="A29" s="487" t="s">
        <v>111</v>
      </c>
      <c r="B29" s="488"/>
      <c r="C29" s="488"/>
      <c r="D29" s="488"/>
      <c r="E29" s="488"/>
      <c r="F29" s="488"/>
      <c r="G29" s="488"/>
      <c r="H29" s="488"/>
      <c r="I29" s="488"/>
      <c r="J29" s="489"/>
      <c r="K29" s="377">
        <f>SUM(K5:K27)</f>
        <v>79512.200000000012</v>
      </c>
    </row>
    <row r="30" spans="1:11">
      <c r="A30" s="215"/>
      <c r="B30" s="300"/>
      <c r="C30" s="13"/>
      <c r="D30" s="13"/>
      <c r="E30" s="13"/>
      <c r="F30" s="13"/>
      <c r="G30" s="13"/>
      <c r="H30" s="13"/>
      <c r="I30" s="13"/>
      <c r="J30" s="13"/>
      <c r="K30" s="13"/>
    </row>
    <row r="31" spans="1:11">
      <c r="A31" s="213">
        <v>2</v>
      </c>
      <c r="B31" s="81" t="s">
        <v>112</v>
      </c>
      <c r="C31" s="19"/>
      <c r="D31" s="19"/>
      <c r="E31" s="19"/>
      <c r="F31" s="19"/>
      <c r="G31" s="19"/>
      <c r="H31" s="19"/>
      <c r="I31" s="19"/>
      <c r="J31" s="14"/>
      <c r="K31" s="5"/>
    </row>
    <row r="32" spans="1:11">
      <c r="A32" s="190"/>
      <c r="B32" s="302"/>
      <c r="C32" s="19"/>
      <c r="D32" s="19"/>
      <c r="E32" s="19"/>
      <c r="F32" s="19"/>
      <c r="G32" s="19"/>
      <c r="H32" s="19"/>
      <c r="I32" s="19"/>
      <c r="J32" s="14"/>
      <c r="K32" s="5"/>
    </row>
    <row r="33" spans="1:11" ht="63.75">
      <c r="A33" s="190"/>
      <c r="B33" s="72" t="s">
        <v>417</v>
      </c>
      <c r="C33" s="19"/>
      <c r="D33" s="19"/>
      <c r="E33" s="19"/>
      <c r="F33" s="19"/>
      <c r="G33" s="19"/>
      <c r="H33" s="20"/>
      <c r="I33" s="19"/>
      <c r="J33" s="14"/>
      <c r="K33" s="5"/>
    </row>
    <row r="34" spans="1:11">
      <c r="A34" s="190"/>
      <c r="B34" s="301"/>
      <c r="C34" s="19"/>
      <c r="D34" s="19"/>
      <c r="E34" s="19"/>
      <c r="F34" s="19"/>
      <c r="G34" s="19"/>
      <c r="H34" s="19"/>
      <c r="I34" s="19"/>
      <c r="J34" s="14"/>
      <c r="K34" s="5"/>
    </row>
    <row r="35" spans="1:11" ht="81.75" customHeight="1">
      <c r="A35" s="464">
        <v>2.1</v>
      </c>
      <c r="B35" s="465" t="s">
        <v>419</v>
      </c>
      <c r="C35" s="466" t="s">
        <v>6</v>
      </c>
      <c r="D35" s="466">
        <v>2</v>
      </c>
      <c r="E35" s="466">
        <v>4</v>
      </c>
      <c r="F35" s="466">
        <v>1</v>
      </c>
      <c r="G35" s="468"/>
      <c r="H35" s="447" t="s">
        <v>314</v>
      </c>
      <c r="I35" s="466">
        <f>SUM(D35:F35)</f>
        <v>7</v>
      </c>
      <c r="J35" s="449">
        <v>12600</v>
      </c>
      <c r="K35" s="450">
        <f>I35*J35</f>
        <v>88200</v>
      </c>
    </row>
    <row r="36" spans="1:11" s="344" customFormat="1">
      <c r="A36" s="341"/>
      <c r="B36" s="342"/>
      <c r="C36" s="274"/>
      <c r="D36" s="274"/>
      <c r="E36" s="274"/>
      <c r="F36" s="274"/>
      <c r="G36" s="274"/>
      <c r="H36" s="261"/>
      <c r="I36" s="274"/>
      <c r="J36" s="287"/>
      <c r="K36" s="343"/>
    </row>
    <row r="37" spans="1:11" ht="79.5" customHeight="1">
      <c r="A37" s="191">
        <v>2.2000000000000002</v>
      </c>
      <c r="B37" s="4" t="s">
        <v>418</v>
      </c>
      <c r="C37" s="19" t="s">
        <v>6</v>
      </c>
      <c r="D37" s="19"/>
      <c r="E37" s="19"/>
      <c r="F37" s="19"/>
      <c r="G37" s="19"/>
      <c r="H37" s="19"/>
      <c r="I37" s="19">
        <v>1</v>
      </c>
      <c r="J37" s="14">
        <f>J35+5000</f>
        <v>17600</v>
      </c>
      <c r="K37" s="5">
        <f>I37*J37</f>
        <v>17600</v>
      </c>
    </row>
    <row r="38" spans="1:11">
      <c r="A38" s="191"/>
      <c r="B38" s="4"/>
      <c r="C38" s="19"/>
      <c r="D38" s="19"/>
      <c r="E38" s="19"/>
      <c r="F38" s="19"/>
      <c r="G38" s="19"/>
      <c r="H38" s="19"/>
      <c r="I38" s="19"/>
      <c r="J38" s="14"/>
      <c r="K38" s="5"/>
    </row>
    <row r="39" spans="1:11" s="154" customFormat="1" ht="15">
      <c r="A39" s="487" t="s">
        <v>102</v>
      </c>
      <c r="B39" s="488"/>
      <c r="C39" s="488"/>
      <c r="D39" s="488"/>
      <c r="E39" s="488"/>
      <c r="F39" s="488"/>
      <c r="G39" s="488"/>
      <c r="H39" s="488"/>
      <c r="I39" s="488"/>
      <c r="J39" s="489"/>
      <c r="K39" s="240">
        <f>SUM(K30:K37)</f>
        <v>105800</v>
      </c>
    </row>
    <row r="40" spans="1:11" s="11" customFormat="1">
      <c r="A40" s="119"/>
      <c r="B40" s="120"/>
      <c r="C40" s="112"/>
      <c r="D40" s="113"/>
      <c r="E40" s="113"/>
      <c r="F40" s="113"/>
      <c r="G40" s="113"/>
      <c r="H40" s="113"/>
      <c r="I40" s="112"/>
      <c r="J40" s="117"/>
      <c r="K40" s="118"/>
    </row>
    <row r="41" spans="1:11">
      <c r="A41" s="190">
        <v>3</v>
      </c>
      <c r="B41" s="69" t="s">
        <v>192</v>
      </c>
      <c r="C41" s="19"/>
      <c r="D41" s="19"/>
      <c r="E41" s="19"/>
      <c r="F41" s="19"/>
      <c r="G41" s="19"/>
      <c r="H41" s="19"/>
      <c r="I41" s="19"/>
      <c r="J41" s="15"/>
      <c r="K41" s="9"/>
    </row>
    <row r="42" spans="1:11">
      <c r="A42" s="122"/>
      <c r="B42" s="165"/>
      <c r="C42" s="112"/>
      <c r="D42" s="125"/>
      <c r="E42" s="125"/>
      <c r="F42" s="125"/>
      <c r="G42" s="125"/>
      <c r="H42" s="125"/>
      <c r="I42" s="124"/>
      <c r="J42" s="117"/>
      <c r="K42" s="118"/>
    </row>
    <row r="43" spans="1:11" ht="55.5" customHeight="1">
      <c r="A43" s="191">
        <v>3.1</v>
      </c>
      <c r="B43" s="4" t="s">
        <v>315</v>
      </c>
      <c r="C43" s="19" t="s">
        <v>6</v>
      </c>
      <c r="D43" s="19"/>
      <c r="E43" s="19"/>
      <c r="F43" s="19"/>
      <c r="G43" s="19"/>
      <c r="H43" s="19"/>
      <c r="I43" s="19">
        <v>1</v>
      </c>
      <c r="J43" s="14">
        <v>85000</v>
      </c>
      <c r="K43" s="5">
        <f>I43*J43</f>
        <v>85000</v>
      </c>
    </row>
    <row r="44" spans="1:11">
      <c r="A44" s="190"/>
      <c r="B44" s="69"/>
      <c r="C44" s="19"/>
      <c r="D44" s="19"/>
      <c r="E44" s="19"/>
      <c r="F44" s="19"/>
      <c r="G44" s="19"/>
      <c r="H44" s="19"/>
      <c r="I44" s="19"/>
      <c r="J44" s="14"/>
      <c r="K44" s="5"/>
    </row>
    <row r="45" spans="1:11" ht="78.75" customHeight="1">
      <c r="A45" s="464">
        <v>3.2</v>
      </c>
      <c r="B45" s="465" t="s">
        <v>341</v>
      </c>
      <c r="C45" s="466" t="s">
        <v>3</v>
      </c>
      <c r="D45" s="466"/>
      <c r="E45" s="466"/>
      <c r="F45" s="466"/>
      <c r="G45" s="466"/>
      <c r="H45" s="467"/>
      <c r="I45" s="466">
        <v>175</v>
      </c>
      <c r="J45" s="449">
        <v>2900</v>
      </c>
      <c r="K45" s="450">
        <f>I45*J45</f>
        <v>507500</v>
      </c>
    </row>
    <row r="46" spans="1:11" ht="15">
      <c r="A46" s="193"/>
      <c r="B46" s="70"/>
      <c r="C46" s="19"/>
      <c r="D46" s="19"/>
      <c r="E46" s="19"/>
      <c r="F46" s="19"/>
      <c r="G46" s="19"/>
      <c r="H46" s="20"/>
      <c r="I46" s="19"/>
      <c r="J46" s="14"/>
      <c r="K46" s="5"/>
    </row>
    <row r="47" spans="1:11" s="154" customFormat="1" ht="15">
      <c r="A47" s="487" t="s">
        <v>103</v>
      </c>
      <c r="B47" s="488"/>
      <c r="C47" s="488"/>
      <c r="D47" s="488"/>
      <c r="E47" s="488"/>
      <c r="F47" s="488"/>
      <c r="G47" s="488"/>
      <c r="H47" s="488"/>
      <c r="I47" s="488"/>
      <c r="J47" s="489"/>
      <c r="K47" s="240">
        <f>SUM(K40:K46)</f>
        <v>592500</v>
      </c>
    </row>
    <row r="48" spans="1:11" s="11" customFormat="1">
      <c r="A48" s="119"/>
      <c r="B48" s="120"/>
      <c r="C48" s="112"/>
      <c r="D48" s="113"/>
      <c r="E48" s="113"/>
      <c r="F48" s="113"/>
      <c r="G48" s="113"/>
      <c r="H48" s="113"/>
      <c r="I48" s="112"/>
      <c r="J48" s="117"/>
      <c r="K48" s="118"/>
    </row>
    <row r="49" spans="1:11">
      <c r="A49" s="192">
        <v>4</v>
      </c>
      <c r="B49" s="75" t="s">
        <v>113</v>
      </c>
      <c r="C49" s="19"/>
      <c r="D49" s="10"/>
      <c r="E49" s="10"/>
      <c r="F49" s="10"/>
      <c r="G49" s="10"/>
      <c r="H49" s="10"/>
      <c r="I49" s="10"/>
      <c r="J49" s="5"/>
      <c r="K49" s="5"/>
    </row>
    <row r="50" spans="1:11">
      <c r="A50" s="192"/>
      <c r="B50" s="353"/>
      <c r="C50" s="28"/>
      <c r="D50" s="29"/>
      <c r="E50" s="29"/>
      <c r="F50" s="29"/>
      <c r="G50" s="29"/>
      <c r="H50" s="29"/>
      <c r="I50" s="29"/>
      <c r="J50" s="5"/>
      <c r="K50" s="5"/>
    </row>
    <row r="51" spans="1:11">
      <c r="A51" s="192">
        <v>4.0999999999999996</v>
      </c>
      <c r="B51" s="171" t="s">
        <v>231</v>
      </c>
      <c r="C51" s="28"/>
      <c r="D51" s="29"/>
      <c r="E51" s="29"/>
      <c r="F51" s="29"/>
      <c r="G51" s="29"/>
      <c r="H51" s="29"/>
      <c r="I51" s="29"/>
      <c r="J51" s="5"/>
      <c r="K51" s="5"/>
    </row>
    <row r="52" spans="1:11">
      <c r="A52" s="192"/>
      <c r="B52" s="353"/>
      <c r="C52" s="28"/>
      <c r="D52" s="29"/>
      <c r="E52" s="29"/>
      <c r="F52" s="29"/>
      <c r="G52" s="29"/>
      <c r="H52" s="29"/>
      <c r="I52" s="29"/>
      <c r="J52" s="5"/>
      <c r="K52" s="5"/>
    </row>
    <row r="53" spans="1:11" ht="34.5" customHeight="1">
      <c r="A53" s="445">
        <v>4.1100000000000003</v>
      </c>
      <c r="B53" s="475" t="s">
        <v>316</v>
      </c>
      <c r="C53" s="455" t="s">
        <v>37</v>
      </c>
      <c r="D53" s="476">
        <v>4.5</v>
      </c>
      <c r="E53" s="476">
        <v>50</v>
      </c>
      <c r="F53" s="476"/>
      <c r="G53" s="476"/>
      <c r="H53" s="476"/>
      <c r="I53" s="476">
        <f>D53*E53</f>
        <v>225</v>
      </c>
      <c r="J53" s="450">
        <v>100</v>
      </c>
      <c r="K53" s="450">
        <f>I53*J53</f>
        <v>22500</v>
      </c>
    </row>
    <row r="54" spans="1:11">
      <c r="A54" s="192"/>
      <c r="B54" s="353"/>
      <c r="C54" s="28"/>
      <c r="D54" s="29"/>
      <c r="E54" s="29"/>
      <c r="F54" s="29"/>
      <c r="G54" s="29"/>
      <c r="H54" s="29"/>
      <c r="I54" s="29"/>
      <c r="J54" s="5"/>
      <c r="K54" s="5"/>
    </row>
    <row r="55" spans="1:11" ht="38.25">
      <c r="A55" s="477">
        <v>4.12</v>
      </c>
      <c r="B55" s="478" t="s">
        <v>233</v>
      </c>
      <c r="C55" s="296" t="s">
        <v>37</v>
      </c>
      <c r="D55" s="29"/>
      <c r="E55" s="29"/>
      <c r="F55" s="29"/>
      <c r="G55" s="29"/>
      <c r="H55" s="29"/>
      <c r="I55" s="29">
        <f>I53</f>
        <v>225</v>
      </c>
      <c r="J55" s="479">
        <v>980</v>
      </c>
      <c r="K55" s="479">
        <f>I55*J55</f>
        <v>220500</v>
      </c>
    </row>
    <row r="56" spans="1:11">
      <c r="A56" s="194"/>
      <c r="B56" s="72"/>
      <c r="C56" s="28"/>
      <c r="D56" s="29"/>
      <c r="E56" s="29"/>
      <c r="F56" s="29"/>
      <c r="G56" s="29"/>
      <c r="H56" s="29"/>
      <c r="I56" s="29"/>
      <c r="J56" s="5"/>
      <c r="K56" s="5"/>
    </row>
    <row r="57" spans="1:11" ht="51">
      <c r="A57" s="477">
        <v>4.13</v>
      </c>
      <c r="B57" s="478" t="s">
        <v>232</v>
      </c>
      <c r="C57" s="296" t="s">
        <v>37</v>
      </c>
      <c r="D57" s="29"/>
      <c r="E57" s="29"/>
      <c r="F57" s="29"/>
      <c r="G57" s="29"/>
      <c r="H57" s="29"/>
      <c r="I57" s="29">
        <f>I53</f>
        <v>225</v>
      </c>
      <c r="J57" s="479">
        <v>500</v>
      </c>
      <c r="K57" s="479">
        <f>I57*J57</f>
        <v>112500</v>
      </c>
    </row>
    <row r="58" spans="1:11">
      <c r="A58" s="194"/>
      <c r="B58" s="72"/>
      <c r="C58" s="28"/>
      <c r="D58" s="29"/>
      <c r="E58" s="29"/>
      <c r="F58" s="29"/>
      <c r="G58" s="29"/>
      <c r="H58" s="29"/>
      <c r="I58" s="29"/>
      <c r="J58" s="5"/>
      <c r="K58" s="5"/>
    </row>
    <row r="59" spans="1:11">
      <c r="A59" s="482">
        <v>4.2</v>
      </c>
      <c r="B59" s="171" t="s">
        <v>234</v>
      </c>
      <c r="C59" s="28"/>
      <c r="D59" s="29"/>
      <c r="E59" s="29"/>
      <c r="F59" s="29"/>
      <c r="G59" s="29"/>
      <c r="H59" s="29"/>
      <c r="I59" s="29"/>
      <c r="J59" s="5"/>
      <c r="K59" s="5"/>
    </row>
    <row r="60" spans="1:11">
      <c r="A60" s="194"/>
      <c r="B60" s="72"/>
      <c r="C60" s="28"/>
      <c r="D60" s="29"/>
      <c r="E60" s="29"/>
      <c r="F60" s="29"/>
      <c r="G60" s="29"/>
      <c r="H60" s="29"/>
      <c r="I60" s="29"/>
      <c r="J60" s="5"/>
      <c r="K60" s="5"/>
    </row>
    <row r="61" spans="1:11" ht="25.5">
      <c r="A61" s="464">
        <v>4.21</v>
      </c>
      <c r="B61" s="475" t="s">
        <v>316</v>
      </c>
      <c r="C61" s="455" t="s">
        <v>37</v>
      </c>
      <c r="D61" s="476">
        <v>6</v>
      </c>
      <c r="E61" s="476">
        <v>50</v>
      </c>
      <c r="F61" s="476"/>
      <c r="G61" s="476"/>
      <c r="H61" s="476"/>
      <c r="I61" s="480">
        <f>D61*E61</f>
        <v>300</v>
      </c>
      <c r="J61" s="449">
        <v>100</v>
      </c>
      <c r="K61" s="450">
        <f>I61*J61</f>
        <v>30000</v>
      </c>
    </row>
    <row r="62" spans="1:11">
      <c r="A62" s="191"/>
      <c r="B62" s="72"/>
      <c r="C62" s="28"/>
      <c r="D62" s="29"/>
      <c r="E62" s="29"/>
      <c r="F62" s="29"/>
      <c r="G62" s="29"/>
      <c r="H62" s="29"/>
      <c r="I62" s="29"/>
      <c r="J62" s="14"/>
      <c r="K62" s="5"/>
    </row>
    <row r="63" spans="1:11" ht="15.75">
      <c r="A63" s="191">
        <v>4.22</v>
      </c>
      <c r="B63" s="72" t="s">
        <v>128</v>
      </c>
      <c r="C63" s="28" t="s">
        <v>37</v>
      </c>
      <c r="D63" s="29"/>
      <c r="E63" s="29"/>
      <c r="F63" s="29"/>
      <c r="G63" s="29"/>
      <c r="H63" s="29"/>
      <c r="I63" s="29">
        <f>I61</f>
        <v>300</v>
      </c>
      <c r="J63" s="14">
        <v>110</v>
      </c>
      <c r="K63" s="5">
        <f>I63*J63</f>
        <v>33000</v>
      </c>
    </row>
    <row r="64" spans="1:11">
      <c r="A64" s="191"/>
      <c r="B64" s="72"/>
      <c r="C64" s="28"/>
      <c r="D64" s="29"/>
      <c r="E64" s="29"/>
      <c r="F64" s="29"/>
      <c r="G64" s="29"/>
      <c r="H64" s="29"/>
      <c r="I64" s="29"/>
      <c r="J64" s="14"/>
      <c r="K64" s="5"/>
    </row>
    <row r="65" spans="1:12" ht="15.75">
      <c r="A65" s="191">
        <v>4.2300000000000004</v>
      </c>
      <c r="B65" s="72" t="s">
        <v>172</v>
      </c>
      <c r="C65" s="28" t="s">
        <v>37</v>
      </c>
      <c r="D65" s="29"/>
      <c r="E65" s="29"/>
      <c r="F65" s="29"/>
      <c r="G65" s="29"/>
      <c r="H65" s="29"/>
      <c r="I65" s="29">
        <f>I61</f>
        <v>300</v>
      </c>
      <c r="J65" s="14">
        <v>220</v>
      </c>
      <c r="K65" s="5">
        <f>I65*J65</f>
        <v>66000</v>
      </c>
    </row>
    <row r="66" spans="1:12">
      <c r="A66" s="191"/>
      <c r="B66" s="72"/>
      <c r="C66" s="28"/>
      <c r="D66" s="29"/>
      <c r="E66" s="29"/>
      <c r="F66" s="29"/>
      <c r="G66" s="29"/>
      <c r="H66" s="29"/>
      <c r="I66" s="29"/>
      <c r="J66" s="14"/>
      <c r="K66" s="5"/>
    </row>
    <row r="67" spans="1:12" ht="25.5">
      <c r="A67" s="191">
        <v>4.24</v>
      </c>
      <c r="B67" s="72" t="s">
        <v>230</v>
      </c>
      <c r="C67" s="28" t="s">
        <v>37</v>
      </c>
      <c r="D67" s="29"/>
      <c r="E67" s="29"/>
      <c r="F67" s="29"/>
      <c r="G67" s="29"/>
      <c r="H67" s="29"/>
      <c r="I67" s="29">
        <f>I61</f>
        <v>300</v>
      </c>
      <c r="J67" s="14">
        <v>220</v>
      </c>
      <c r="K67" s="5">
        <f>I67*J67</f>
        <v>66000</v>
      </c>
      <c r="L67" s="92"/>
    </row>
    <row r="68" spans="1:12">
      <c r="A68" s="122"/>
      <c r="B68" s="165"/>
      <c r="C68" s="112"/>
      <c r="D68" s="125"/>
      <c r="E68" s="125"/>
      <c r="F68" s="125"/>
      <c r="G68" s="125"/>
      <c r="H68" s="125"/>
      <c r="I68" s="124"/>
      <c r="J68" s="117"/>
      <c r="K68" s="118"/>
    </row>
    <row r="69" spans="1:12" s="154" customFormat="1" ht="15">
      <c r="A69" s="487" t="s">
        <v>104</v>
      </c>
      <c r="B69" s="488"/>
      <c r="C69" s="488"/>
      <c r="D69" s="488"/>
      <c r="E69" s="488"/>
      <c r="F69" s="488"/>
      <c r="G69" s="488"/>
      <c r="H69" s="488"/>
      <c r="I69" s="488"/>
      <c r="J69" s="489"/>
      <c r="K69" s="240">
        <f>SUM(K48:K68)</f>
        <v>550500</v>
      </c>
    </row>
    <row r="70" spans="1:12" s="11" customFormat="1">
      <c r="A70" s="119"/>
      <c r="B70" s="120"/>
      <c r="C70" s="112"/>
      <c r="D70" s="113"/>
      <c r="E70" s="113"/>
      <c r="F70" s="113"/>
      <c r="G70" s="113"/>
      <c r="H70" s="113"/>
      <c r="I70" s="112"/>
      <c r="J70" s="117"/>
      <c r="K70" s="118"/>
    </row>
    <row r="71" spans="1:12">
      <c r="A71" s="192">
        <v>5</v>
      </c>
      <c r="B71" s="75" t="s">
        <v>114</v>
      </c>
      <c r="C71" s="19"/>
      <c r="D71" s="10"/>
      <c r="E71" s="10"/>
      <c r="F71" s="10"/>
      <c r="G71" s="10"/>
      <c r="H71" s="10"/>
      <c r="I71" s="10"/>
      <c r="J71" s="5"/>
      <c r="K71" s="5"/>
    </row>
    <row r="72" spans="1:12">
      <c r="A72" s="192"/>
      <c r="B72" s="75"/>
      <c r="C72" s="28"/>
      <c r="D72" s="29"/>
      <c r="E72" s="29"/>
      <c r="F72" s="29"/>
      <c r="G72" s="29"/>
      <c r="H72" s="29"/>
      <c r="I72" s="29"/>
      <c r="J72" s="6"/>
      <c r="K72" s="5"/>
    </row>
    <row r="73" spans="1:12" ht="76.5">
      <c r="A73" s="191">
        <v>5.0999999999999996</v>
      </c>
      <c r="B73" s="241" t="s">
        <v>235</v>
      </c>
      <c r="C73" s="28" t="s">
        <v>279</v>
      </c>
      <c r="D73" s="29"/>
      <c r="E73" s="29"/>
      <c r="F73" s="29"/>
      <c r="G73" s="29"/>
      <c r="H73" s="29"/>
      <c r="I73" s="29" t="s">
        <v>124</v>
      </c>
      <c r="J73" s="6">
        <v>50000</v>
      </c>
      <c r="K73" s="5">
        <f>J73</f>
        <v>50000</v>
      </c>
    </row>
    <row r="74" spans="1:12">
      <c r="A74" s="345"/>
      <c r="B74" s="346"/>
      <c r="C74" s="19"/>
      <c r="D74" s="10"/>
      <c r="E74" s="10"/>
      <c r="F74" s="10"/>
      <c r="G74" s="10"/>
      <c r="H74" s="10"/>
      <c r="I74" s="10"/>
      <c r="J74" s="5"/>
      <c r="K74" s="5"/>
    </row>
    <row r="75" spans="1:12" s="154" customFormat="1" ht="15">
      <c r="A75" s="487" t="s">
        <v>105</v>
      </c>
      <c r="B75" s="488"/>
      <c r="C75" s="488"/>
      <c r="D75" s="488"/>
      <c r="E75" s="488"/>
      <c r="F75" s="488"/>
      <c r="G75" s="488"/>
      <c r="H75" s="488"/>
      <c r="I75" s="488"/>
      <c r="J75" s="489"/>
      <c r="K75" s="327">
        <f>SUM(K71:K74)</f>
        <v>50000</v>
      </c>
    </row>
    <row r="76" spans="1:12">
      <c r="A76" s="298"/>
      <c r="B76" s="299"/>
      <c r="C76" s="87"/>
      <c r="D76" s="87"/>
      <c r="E76" s="87"/>
      <c r="F76" s="87"/>
      <c r="G76" s="87"/>
      <c r="H76" s="87"/>
      <c r="I76" s="87"/>
      <c r="J76" s="6"/>
      <c r="K76" s="5"/>
    </row>
    <row r="77" spans="1:12">
      <c r="A77" s="192">
        <v>6</v>
      </c>
      <c r="B77" s="75" t="s">
        <v>194</v>
      </c>
      <c r="C77" s="19"/>
      <c r="D77" s="10"/>
      <c r="E77" s="10"/>
      <c r="F77" s="10"/>
      <c r="G77" s="10"/>
      <c r="H77" s="10"/>
      <c r="I77" s="10"/>
      <c r="J77" s="5"/>
      <c r="K77" s="5"/>
    </row>
    <row r="78" spans="1:12">
      <c r="A78" s="298"/>
      <c r="B78" s="354"/>
      <c r="C78" s="87"/>
      <c r="D78" s="355"/>
      <c r="E78" s="355"/>
      <c r="F78" s="355"/>
      <c r="G78" s="355"/>
      <c r="H78" s="355"/>
      <c r="I78" s="355"/>
      <c r="J78" s="6"/>
      <c r="K78" s="5"/>
    </row>
    <row r="79" spans="1:12" ht="25.5">
      <c r="A79" s="191">
        <v>6.1</v>
      </c>
      <c r="B79" s="241" t="s">
        <v>236</v>
      </c>
      <c r="C79" s="19" t="s">
        <v>11</v>
      </c>
      <c r="D79" s="10"/>
      <c r="E79" s="10"/>
      <c r="F79" s="10"/>
      <c r="G79" s="10"/>
      <c r="H79" s="10"/>
      <c r="I79" s="19">
        <v>1</v>
      </c>
      <c r="J79" s="6">
        <v>25000</v>
      </c>
      <c r="K79" s="5">
        <f>I79*J79</f>
        <v>25000</v>
      </c>
    </row>
    <row r="80" spans="1:12">
      <c r="A80" s="191"/>
      <c r="B80" s="191"/>
      <c r="C80" s="87"/>
      <c r="D80" s="355"/>
      <c r="E80" s="355"/>
      <c r="F80" s="355"/>
      <c r="G80" s="355"/>
      <c r="H80" s="355"/>
      <c r="I80" s="87"/>
      <c r="J80" s="6"/>
      <c r="K80" s="5"/>
    </row>
    <row r="81" spans="1:13" ht="25.5">
      <c r="A81" s="191">
        <v>6.2</v>
      </c>
      <c r="B81" s="484" t="s">
        <v>317</v>
      </c>
      <c r="C81" s="19" t="s">
        <v>11</v>
      </c>
      <c r="D81" s="10"/>
      <c r="E81" s="10"/>
      <c r="F81" s="10"/>
      <c r="G81" s="10"/>
      <c r="H81" s="10"/>
      <c r="I81" s="19">
        <v>1</v>
      </c>
      <c r="J81" s="6">
        <v>25000</v>
      </c>
      <c r="K81" s="5">
        <f>I81*J81</f>
        <v>25000</v>
      </c>
    </row>
    <row r="82" spans="1:13">
      <c r="A82" s="298"/>
      <c r="B82" s="354"/>
      <c r="C82" s="87"/>
      <c r="D82" s="355"/>
      <c r="E82" s="355"/>
      <c r="F82" s="355"/>
      <c r="G82" s="355"/>
      <c r="H82" s="355"/>
      <c r="I82" s="355"/>
      <c r="J82" s="6"/>
      <c r="K82" s="5"/>
    </row>
    <row r="83" spans="1:13" s="154" customFormat="1" ht="15">
      <c r="A83" s="487" t="s">
        <v>106</v>
      </c>
      <c r="B83" s="488"/>
      <c r="C83" s="488"/>
      <c r="D83" s="488"/>
      <c r="E83" s="488"/>
      <c r="F83" s="488"/>
      <c r="G83" s="488"/>
      <c r="H83" s="488"/>
      <c r="I83" s="488"/>
      <c r="J83" s="489"/>
      <c r="K83" s="357">
        <f>SUM(K76:K81)</f>
        <v>50000</v>
      </c>
    </row>
    <row r="84" spans="1:13" s="11" customFormat="1" ht="15" customHeight="1">
      <c r="A84" s="498"/>
      <c r="B84" s="499"/>
      <c r="C84" s="499"/>
      <c r="D84" s="499"/>
      <c r="E84" s="499"/>
      <c r="F84" s="499"/>
      <c r="G84" s="499"/>
      <c r="H84" s="499"/>
      <c r="I84" s="499"/>
      <c r="J84" s="499"/>
      <c r="K84" s="500"/>
      <c r="M84" s="11" t="s">
        <v>58</v>
      </c>
    </row>
    <row r="85" spans="1:13" ht="14.25" customHeight="1">
      <c r="A85" s="497" t="s">
        <v>108</v>
      </c>
      <c r="B85" s="497"/>
      <c r="C85" s="497"/>
      <c r="D85" s="497"/>
      <c r="E85" s="497"/>
      <c r="F85" s="497"/>
      <c r="G85" s="497"/>
      <c r="H85" s="497"/>
      <c r="I85" s="497"/>
      <c r="J85" s="497"/>
      <c r="K85" s="481">
        <f>K83+K75+K69+K47+K39+K29</f>
        <v>1428312.2</v>
      </c>
    </row>
    <row r="86" spans="1:13" ht="14.25" customHeight="1">
      <c r="A86" s="497" t="s">
        <v>107</v>
      </c>
      <c r="B86" s="497" t="s">
        <v>7</v>
      </c>
      <c r="C86" s="497"/>
      <c r="D86" s="497"/>
      <c r="E86" s="497"/>
      <c r="F86" s="497"/>
      <c r="G86" s="497"/>
      <c r="H86" s="497"/>
      <c r="I86" s="497"/>
      <c r="J86" s="497"/>
      <c r="K86" s="106">
        <f>0.05*K85</f>
        <v>71415.61</v>
      </c>
    </row>
    <row r="87" spans="1:13">
      <c r="A87" s="497" t="s">
        <v>108</v>
      </c>
      <c r="B87" s="497"/>
      <c r="C87" s="497"/>
      <c r="D87" s="497"/>
      <c r="E87" s="497"/>
      <c r="F87" s="497"/>
      <c r="G87" s="497"/>
      <c r="H87" s="497"/>
      <c r="I87" s="497"/>
      <c r="J87" s="497"/>
      <c r="K87" s="106">
        <f>SUM(K85:K86)</f>
        <v>1499727.81</v>
      </c>
    </row>
    <row r="88" spans="1:13" ht="47.25" customHeight="1">
      <c r="A88" s="496" t="s">
        <v>222</v>
      </c>
      <c r="B88" s="496"/>
      <c r="C88" s="496"/>
      <c r="D88" s="496"/>
      <c r="E88" s="496"/>
      <c r="F88" s="496"/>
      <c r="G88" s="496"/>
      <c r="H88" s="496"/>
      <c r="I88" s="496"/>
      <c r="J88" s="496"/>
      <c r="K88" s="496"/>
    </row>
  </sheetData>
  <mergeCells count="14">
    <mergeCell ref="A1:I1"/>
    <mergeCell ref="A2:K2"/>
    <mergeCell ref="D3:H3"/>
    <mergeCell ref="A88:K88"/>
    <mergeCell ref="A85:J85"/>
    <mergeCell ref="A86:J86"/>
    <mergeCell ref="A87:J87"/>
    <mergeCell ref="A39:J39"/>
    <mergeCell ref="A69:J69"/>
    <mergeCell ref="A47:J47"/>
    <mergeCell ref="A75:J75"/>
    <mergeCell ref="A84:K84"/>
    <mergeCell ref="A83:J83"/>
    <mergeCell ref="A29:J29"/>
  </mergeCells>
  <pageMargins left="0.7" right="0.7" top="0.75" bottom="0.75" header="0.3" footer="0.3"/>
  <pageSetup scale="7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Bill 1 RBBT</vt:lpstr>
      <vt:lpstr>Bill 2 ST</vt:lpstr>
      <vt:lpstr>Bill 3 ABR</vt:lpstr>
      <vt:lpstr>Bill 4 VFCW </vt:lpstr>
      <vt:lpstr>Bill 5 SDB</vt:lpstr>
      <vt:lpstr>Bill 6 CA</vt:lpstr>
      <vt:lpstr>Bill 7 SWI</vt:lpstr>
      <vt:lpstr>Bill 8 OS</vt:lpstr>
      <vt:lpstr>Bill 9 Site &amp; AW</vt:lpstr>
      <vt:lpstr>SUMMARY</vt:lpstr>
      <vt:lpstr>'Bill 1 RBBT'!Print_Area</vt:lpstr>
      <vt:lpstr>'Bill 2 ST'!Print_Area</vt:lpstr>
      <vt:lpstr>'Bill 3 ABR'!Print_Area</vt:lpstr>
      <vt:lpstr>'Bill 4 VFCW '!Print_Area</vt:lpstr>
      <vt:lpstr>'Bill 5 SDB'!Print_Area</vt:lpstr>
      <vt:lpstr>'Bill 6 CA'!Print_Area</vt:lpstr>
      <vt:lpstr>'Bill 7 SWI'!Print_Area</vt:lpstr>
      <vt:lpstr>'Bill 8 OS'!Print_Area</vt:lpstr>
      <vt:lpstr>'Bill 9 Site &amp; AW'!Print_Area</vt:lpstr>
      <vt:lpstr>SUMMARY!Print_Area</vt:lpstr>
      <vt:lpstr>'Bill 1 RBBT'!Print_Titles</vt:lpstr>
      <vt:lpstr>'Bill 2 ST'!Print_Titles</vt:lpstr>
      <vt:lpstr>'Bill 3 ABR'!Print_Titles</vt:lpstr>
      <vt:lpstr>'Bill 4 VFCW '!Print_Titles</vt:lpstr>
      <vt:lpstr>'Bill 5 SDB'!Print_Titles</vt:lpstr>
      <vt:lpstr>'Bill 6 CA'!Print_Titles</vt:lpstr>
      <vt:lpstr>'Bill 7 SWI'!Print_Titles</vt:lpstr>
      <vt:lpstr>'Bill 8 OS'!Print_Titles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2014-08-29T10:45:58Z</dcterms:created>
  <dcterms:modified xsi:type="dcterms:W3CDTF">2016-12-06T12:22:40Z</dcterms:modified>
</cp:coreProperties>
</file>